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295" windowHeight="9120" tabRatio="862" activeTab="0"/>
  </bookViews>
  <sheets>
    <sheet name="Rozpis příjmů" sheetId="1" r:id="rId1"/>
    <sheet name="Rozpis nákladů" sheetId="2" r:id="rId2"/>
    <sheet name="Výsledek hospodaření" sheetId="3" r:id="rId3"/>
    <sheet name="Celkové příjmy" sheetId="4" r:id="rId4"/>
    <sheet name="Celkové náklady" sheetId="5" r:id="rId5"/>
    <sheet name="Náklady ústředí" sheetId="6" r:id="rId6"/>
    <sheet name="Klienti a zaměstnanci středisek" sheetId="7" r:id="rId7"/>
  </sheets>
  <externalReferences>
    <externalReference r:id="rId10"/>
  </externalReferences>
  <definedNames/>
  <calcPr fullCalcOnLoad="1"/>
</workbook>
</file>

<file path=xl/comments7.xml><?xml version="1.0" encoding="utf-8"?>
<comments xmlns="http://schemas.openxmlformats.org/spreadsheetml/2006/main">
  <authors>
    <author>Andrea Fenclov?</author>
  </authors>
  <commentList>
    <comment ref="W5" authorId="0">
      <text>
        <r>
          <rPr>
            <b/>
            <sz val="8"/>
            <rFont val="Tahoma"/>
            <family val="0"/>
          </rPr>
          <t>Svépomocné skupiny (čaje o páté) 70</t>
        </r>
      </text>
    </comment>
    <comment ref="M8" authorId="0">
      <text>
        <r>
          <rPr>
            <b/>
            <sz val="8"/>
            <rFont val="Tahoma"/>
            <family val="0"/>
          </rPr>
          <t>480 klientů
8 200 kontaktů</t>
        </r>
      </text>
    </comment>
    <comment ref="K13" authorId="0">
      <text>
        <r>
          <rPr>
            <b/>
            <sz val="8"/>
            <rFont val="Tahoma"/>
            <family val="0"/>
          </rPr>
          <t>24 X využito krizové lůžko (?)</t>
        </r>
      </text>
    </comment>
    <comment ref="U13" authorId="0">
      <text>
        <r>
          <rPr>
            <b/>
            <sz val="8"/>
            <rFont val="Tahoma"/>
            <family val="0"/>
          </rPr>
          <t xml:space="preserve">V rámci domova pro matku a dítě
</t>
        </r>
      </text>
    </comment>
    <comment ref="W13" authorId="0">
      <text>
        <r>
          <rPr>
            <b/>
            <sz val="8"/>
            <rFont val="Tahoma"/>
            <family val="0"/>
          </rPr>
          <t>rozhovor v rámci socioterapie
klub kavárenské pohody</t>
        </r>
      </text>
    </comment>
    <comment ref="D18" authorId="0">
      <text>
        <r>
          <rPr>
            <b/>
            <sz val="8"/>
            <rFont val="Tahoma"/>
            <family val="0"/>
          </rPr>
          <t>děti s komb. Postižením
domovinka pro seniory</t>
        </r>
      </text>
    </comment>
    <comment ref="F18" authorId="0">
      <text>
        <r>
          <rPr>
            <b/>
            <sz val="8"/>
            <rFont val="Tahoma"/>
            <family val="0"/>
          </rPr>
          <t>týdenní pobyt pro seniory</t>
        </r>
      </text>
    </comment>
    <comment ref="L18" authorId="0">
      <text>
        <r>
          <rPr>
            <b/>
            <sz val="8"/>
            <rFont val="Tahoma"/>
            <family val="0"/>
          </rPr>
          <t>SKP-pomoc osobám bez přístřeší a soc. slabým</t>
        </r>
      </text>
    </comment>
    <comment ref="N18" authorId="0">
      <text>
        <r>
          <rPr>
            <b/>
            <sz val="8"/>
            <rFont val="Tahoma"/>
            <family val="0"/>
          </rPr>
          <t>děti s komb. postižením</t>
        </r>
      </text>
    </comment>
    <comment ref="W18" authorId="0">
      <text>
        <r>
          <rPr>
            <b/>
            <sz val="8"/>
            <rFont val="Tahoma"/>
            <family val="0"/>
          </rPr>
          <t>60 klientů
8 lůžek ve stanici peč. Služby pro děti v krizi</t>
        </r>
      </text>
    </comment>
    <comment ref="S21" authorId="0">
      <text>
        <r>
          <rPr>
            <b/>
            <sz val="8"/>
            <rFont val="Tahoma"/>
            <family val="0"/>
          </rPr>
          <t>zejména rehab. Péče</t>
        </r>
      </text>
    </comment>
    <comment ref="W15" authorId="0">
      <text>
        <r>
          <rPr>
            <b/>
            <sz val="8"/>
            <rFont val="Tahoma"/>
            <family val="0"/>
          </rPr>
          <t xml:space="preserve"> lůžka pro účastníky seminářů a vým. pobytů</t>
        </r>
      </text>
    </comment>
    <comment ref="T27" authorId="0">
      <text>
        <r>
          <rPr>
            <b/>
            <sz val="8"/>
            <rFont val="Tahoma"/>
            <family val="0"/>
          </rPr>
          <t>Nejen pro UD, 
doplňková služba NZDM</t>
        </r>
      </text>
    </comment>
    <comment ref="G7" authorId="0">
      <text>
        <r>
          <rPr>
            <b/>
            <sz val="8"/>
            <rFont val="Tahoma"/>
            <family val="0"/>
          </rPr>
          <t>za rok se na něm vystřídalo 13 klientů</t>
        </r>
      </text>
    </comment>
    <comment ref="W21" authorId="0">
      <text>
        <r>
          <rPr>
            <b/>
            <sz val="8"/>
            <rFont val="Tahoma"/>
            <family val="0"/>
          </rPr>
          <t>rehabilitace jednoho hocha, který nevyužívá jiných služeb</t>
        </r>
      </text>
    </comment>
    <comment ref="AA6" authorId="0">
      <text>
        <r>
          <rPr>
            <b/>
            <sz val="8"/>
            <rFont val="Tahoma"/>
            <family val="0"/>
          </rPr>
          <t>1 trvale
4 jednorázově</t>
        </r>
      </text>
    </comment>
    <comment ref="AA16" authorId="0">
      <text>
        <r>
          <rPr>
            <b/>
            <sz val="8"/>
            <rFont val="Tahoma"/>
            <family val="0"/>
          </rPr>
          <t>4 jednorázová pomoc</t>
        </r>
      </text>
    </comment>
    <comment ref="Z10" authorId="0">
      <text>
        <r>
          <rPr>
            <b/>
            <sz val="8"/>
            <rFont val="Tahoma"/>
            <family val="0"/>
          </rPr>
          <t>8 pravidelnějších
20 jednorázových</t>
        </r>
      </text>
    </comment>
    <comment ref="Z16" authorId="0">
      <text>
        <r>
          <rPr>
            <b/>
            <sz val="8"/>
            <rFont val="Tahoma"/>
            <family val="0"/>
          </rPr>
          <t>13 pravidelnějších
40 jednorázových</t>
        </r>
      </text>
    </comment>
    <comment ref="Z21" authorId="0">
      <text>
        <r>
          <rPr>
            <b/>
            <sz val="8"/>
            <rFont val="Tahoma"/>
            <family val="0"/>
          </rPr>
          <t>bude upřesněno</t>
        </r>
      </text>
    </comment>
    <comment ref="AA25" authorId="0">
      <text>
        <r>
          <rPr>
            <b/>
            <sz val="8"/>
            <rFont val="Tahoma"/>
            <family val="0"/>
          </rPr>
          <t>4 dlouhodoběji
20 jednorázově</t>
        </r>
      </text>
    </comment>
    <comment ref="Z29" authorId="0">
      <text>
        <r>
          <rPr>
            <b/>
            <sz val="8"/>
            <rFont val="Tahoma"/>
            <family val="0"/>
          </rPr>
          <t>30 pravidelněji
70 jednorázově</t>
        </r>
      </text>
    </comment>
    <comment ref="AA32" authorId="0">
      <text>
        <r>
          <rPr>
            <b/>
            <sz val="8"/>
            <rFont val="Tahoma"/>
            <family val="0"/>
          </rPr>
          <t>1 dlouhodobě
1 jednorázově</t>
        </r>
      </text>
    </comment>
    <comment ref="N6" authorId="0">
      <text>
        <r>
          <rPr>
            <b/>
            <sz val="8"/>
            <rFont val="Tahoma"/>
            <family val="0"/>
          </rPr>
          <t>16 doprava</t>
        </r>
      </text>
    </comment>
  </commentList>
</comments>
</file>

<file path=xl/sharedStrings.xml><?xml version="1.0" encoding="utf-8"?>
<sst xmlns="http://schemas.openxmlformats.org/spreadsheetml/2006/main" count="512" uniqueCount="350">
  <si>
    <t>azylové domy</t>
  </si>
  <si>
    <t xml:space="preserve">centra denních služeb </t>
  </si>
  <si>
    <t>dílny</t>
  </si>
  <si>
    <t xml:space="preserve">domovy a penziony </t>
  </si>
  <si>
    <t>domy na půl cesty</t>
  </si>
  <si>
    <t>chráněné bydlení</t>
  </si>
  <si>
    <t>kontaktní centra</t>
  </si>
  <si>
    <t>krizová pomoc</t>
  </si>
  <si>
    <t>nízkoprahová denní centra</t>
  </si>
  <si>
    <t>nízkoprahová zařízení pro děti a mládež</t>
  </si>
  <si>
    <t>odlehčovací služby</t>
  </si>
  <si>
    <t>osobní asistence</t>
  </si>
  <si>
    <t xml:space="preserve">pečovatelská služba </t>
  </si>
  <si>
    <t>podporované zaměstnání</t>
  </si>
  <si>
    <t>poradny</t>
  </si>
  <si>
    <t>raná péče</t>
  </si>
  <si>
    <t>terénní programy pro uživatele drog</t>
  </si>
  <si>
    <t>tísňová péče</t>
  </si>
  <si>
    <t>zařízení pěstounské péče</t>
  </si>
  <si>
    <t>jiné</t>
  </si>
  <si>
    <t>Brno</t>
  </si>
  <si>
    <t>Čáslav</t>
  </si>
  <si>
    <t>Dvůr</t>
  </si>
  <si>
    <t>Jaroměř</t>
  </si>
  <si>
    <t>Javorník</t>
  </si>
  <si>
    <t>Klobouky</t>
  </si>
  <si>
    <t>Krabčice</t>
  </si>
  <si>
    <t>Libice</t>
  </si>
  <si>
    <t>Litoměřice</t>
  </si>
  <si>
    <t>Merklín</t>
  </si>
  <si>
    <t>Most</t>
  </si>
  <si>
    <t>Myslibořice</t>
  </si>
  <si>
    <t>Náchod</t>
  </si>
  <si>
    <t>Ostrava</t>
  </si>
  <si>
    <t>Písek</t>
  </si>
  <si>
    <t>Praha-Michle</t>
  </si>
  <si>
    <t>Praha-Strašnice</t>
  </si>
  <si>
    <t>Praha-Stodůlky</t>
  </si>
  <si>
    <t>Praha-SKP</t>
  </si>
  <si>
    <t>Praha-SZP</t>
  </si>
  <si>
    <t>Přelouč</t>
  </si>
  <si>
    <t>Příbor</t>
  </si>
  <si>
    <t>Rokycany</t>
  </si>
  <si>
    <t>Rýmařov</t>
  </si>
  <si>
    <t>Soběslav</t>
  </si>
  <si>
    <t>Sobotín</t>
  </si>
  <si>
    <t>Uherské Hradiště</t>
  </si>
  <si>
    <t>ValMez</t>
  </si>
  <si>
    <t>Vrchlabí</t>
  </si>
  <si>
    <t xml:space="preserve"> 1150+3100</t>
  </si>
  <si>
    <t xml:space="preserve"> -</t>
  </si>
  <si>
    <t>průměrný počet zaměstnanců</t>
  </si>
  <si>
    <t>přepočtený počet zaměstnanců</t>
  </si>
  <si>
    <t>dobrovolníci</t>
  </si>
  <si>
    <t>trvale</t>
  </si>
  <si>
    <t>přechodně</t>
  </si>
  <si>
    <t>alternativní trestanci</t>
  </si>
  <si>
    <t>školy</t>
  </si>
  <si>
    <t>civilní služba</t>
  </si>
  <si>
    <t>Celkem</t>
  </si>
  <si>
    <t>CELKEM</t>
  </si>
  <si>
    <t>Průměrně:</t>
  </si>
  <si>
    <t>externisti</t>
  </si>
  <si>
    <t>Celkové náklady Diakonie ČCE v r. 2002</t>
  </si>
  <si>
    <t>v tis. Kč</t>
  </si>
  <si>
    <t>Náklady</t>
  </si>
  <si>
    <t>Příjmy</t>
  </si>
  <si>
    <t>Hosp. výsledek</t>
  </si>
  <si>
    <t>Struktura nákladů 2002</t>
  </si>
  <si>
    <t>výše v tis. Kč</t>
  </si>
  <si>
    <t>druh nákladů</t>
  </si>
  <si>
    <t>% z celku</t>
  </si>
  <si>
    <t>materiálové nákl.</t>
  </si>
  <si>
    <t>mzdy</t>
  </si>
  <si>
    <t>daně a poplatky</t>
  </si>
  <si>
    <t>SZ + ZP</t>
  </si>
  <si>
    <t>pojistné</t>
  </si>
  <si>
    <t>DPP + DPČ</t>
  </si>
  <si>
    <t>ostatní</t>
  </si>
  <si>
    <t>energie</t>
  </si>
  <si>
    <t>opravy a údržba</t>
  </si>
  <si>
    <t>služby</t>
  </si>
  <si>
    <t>odpisy</t>
  </si>
  <si>
    <t>celkem</t>
  </si>
  <si>
    <t>Ing. J. Bouška</t>
  </si>
  <si>
    <t>Diakonie ČCE</t>
  </si>
  <si>
    <t>1. 4. 2003</t>
  </si>
  <si>
    <t>samospráva</t>
  </si>
  <si>
    <t>dotace MPSV</t>
  </si>
  <si>
    <t>úřad práce</t>
  </si>
  <si>
    <t>z ostatních činn.</t>
  </si>
  <si>
    <t>dotace MZ</t>
  </si>
  <si>
    <t>MŠMT</t>
  </si>
  <si>
    <t>sbírky</t>
  </si>
  <si>
    <t>nadace např. NROS</t>
  </si>
  <si>
    <t>zdrav. pojisťovny</t>
  </si>
  <si>
    <t>zahr. př. a sponzoři</t>
  </si>
  <si>
    <t>z vedl. činnosti</t>
  </si>
  <si>
    <t>z hlavní činnosti</t>
  </si>
  <si>
    <t>st. správa např. MV</t>
  </si>
  <si>
    <t>ost. činnosti</t>
  </si>
  <si>
    <t>Struktura příjmů 2002</t>
  </si>
  <si>
    <t>Celkové příjmy Diakonie ČCE v r. 2002</t>
  </si>
  <si>
    <t>druh příjmů</t>
  </si>
  <si>
    <t xml:space="preserve">dotace </t>
  </si>
  <si>
    <t>zdravotní</t>
  </si>
  <si>
    <t>úřad</t>
  </si>
  <si>
    <t>obecní, městské</t>
  </si>
  <si>
    <t>ost. org.st.</t>
  </si>
  <si>
    <t>NROS popř.</t>
  </si>
  <si>
    <t>příjmy z hl.</t>
  </si>
  <si>
    <t>příjmy z vedl.</t>
  </si>
  <si>
    <t>zahraniční</t>
  </si>
  <si>
    <t>sponzorské</t>
  </si>
  <si>
    <t xml:space="preserve">z ostatních </t>
  </si>
  <si>
    <t xml:space="preserve">  celkem</t>
  </si>
  <si>
    <t xml:space="preserve">Středisko </t>
  </si>
  <si>
    <t xml:space="preserve"> MPSV</t>
  </si>
  <si>
    <t>pojišťovny</t>
  </si>
  <si>
    <t>práce</t>
  </si>
  <si>
    <t>úřady a magistr.</t>
  </si>
  <si>
    <t>spr.např.MV</t>
  </si>
  <si>
    <t>jiné nadace</t>
  </si>
  <si>
    <t>činnosti</t>
  </si>
  <si>
    <t xml:space="preserve">   příjmy</t>
  </si>
  <si>
    <t>dary</t>
  </si>
  <si>
    <t xml:space="preserve">  činností</t>
  </si>
  <si>
    <t>Dvůr Králové</t>
  </si>
  <si>
    <t xml:space="preserve">Merklín  </t>
  </si>
  <si>
    <t xml:space="preserve">Náchod   </t>
  </si>
  <si>
    <t>Michle</t>
  </si>
  <si>
    <t>Stodůlky</t>
  </si>
  <si>
    <t>Strašnice</t>
  </si>
  <si>
    <t>SKP</t>
  </si>
  <si>
    <t>SZP</t>
  </si>
  <si>
    <t>Uh. Hradiště</t>
  </si>
  <si>
    <t>Val. Meziříčí</t>
  </si>
  <si>
    <t>Ústředí</t>
  </si>
  <si>
    <t>materiálové</t>
  </si>
  <si>
    <t>opravy a</t>
  </si>
  <si>
    <t>daně</t>
  </si>
  <si>
    <t>náklady</t>
  </si>
  <si>
    <t>údržba</t>
  </si>
  <si>
    <t>a poplatky</t>
  </si>
  <si>
    <t>Výnosy</t>
  </si>
  <si>
    <t>Výsledek hospodaření</t>
  </si>
  <si>
    <t>skutečnost</t>
  </si>
  <si>
    <t>%</t>
  </si>
  <si>
    <t>SU</t>
  </si>
  <si>
    <t>AU</t>
  </si>
  <si>
    <t xml:space="preserve">název účtu                        </t>
  </si>
  <si>
    <t xml:space="preserve">plán </t>
  </si>
  <si>
    <t>ústředí</t>
  </si>
  <si>
    <t>plnění</t>
  </si>
  <si>
    <t>povodně</t>
  </si>
  <si>
    <t>spotř. potravin</t>
  </si>
  <si>
    <t>tiskopisy, papíry</t>
  </si>
  <si>
    <t>tonery, pásky do tisk</t>
  </si>
  <si>
    <t>knihy, příručky</t>
  </si>
  <si>
    <t>noviny, časopisy</t>
  </si>
  <si>
    <t>ostatní kancel. potřeby</t>
  </si>
  <si>
    <t>Filmy, videokazety</t>
  </si>
  <si>
    <t>mat. na výrobky a dr.opravy</t>
  </si>
  <si>
    <t>DHIM,DNIM,PPSp do 1000/3000</t>
  </si>
  <si>
    <t>DHIM, nad 3000</t>
  </si>
  <si>
    <t>71.</t>
  </si>
  <si>
    <t>pohonné hmoty</t>
  </si>
  <si>
    <t>73.</t>
  </si>
  <si>
    <t>pneu a ost. nákupy pro auta</t>
  </si>
  <si>
    <t>zdrav. materiál</t>
  </si>
  <si>
    <t>ochr. pomůcky</t>
  </si>
  <si>
    <t>úklid mat. a čistících prostř.</t>
  </si>
  <si>
    <t>ost hyg a drog. potř.</t>
  </si>
  <si>
    <t>povodeň</t>
  </si>
  <si>
    <t>ost nákupy</t>
  </si>
  <si>
    <t>501 Celkem</t>
  </si>
  <si>
    <t>Materiálové náklady</t>
  </si>
  <si>
    <t>elektřina</t>
  </si>
  <si>
    <t>plyn</t>
  </si>
  <si>
    <t>vodné, stočné</t>
  </si>
  <si>
    <t>502 Celkem</t>
  </si>
  <si>
    <t>Spotřeba energie</t>
  </si>
  <si>
    <t>504 Celkem</t>
  </si>
  <si>
    <t>Prodané zboží</t>
  </si>
  <si>
    <t>výpoč techn vč tiskáren</t>
  </si>
  <si>
    <t>kopírky</t>
  </si>
  <si>
    <t>ostat stroje a zařízení</t>
  </si>
  <si>
    <t>dům Kolín</t>
  </si>
  <si>
    <t>dům Belgická</t>
  </si>
  <si>
    <t>výtahy</t>
  </si>
  <si>
    <t>70.</t>
  </si>
  <si>
    <t>auta</t>
  </si>
  <si>
    <t>511 Celkem</t>
  </si>
  <si>
    <t>Opravy a udržování</t>
  </si>
  <si>
    <t>zaměstnanci ústředí</t>
  </si>
  <si>
    <t>členové představenstva</t>
  </si>
  <si>
    <t>zaměstnanci středisek</t>
  </si>
  <si>
    <t>ostatní osoby</t>
  </si>
  <si>
    <t>512 Celkem</t>
  </si>
  <si>
    <t>Cestovné</t>
  </si>
  <si>
    <t>reprezentace</t>
  </si>
  <si>
    <t>pohoštění</t>
  </si>
  <si>
    <t>nákl. zahr. návštěv</t>
  </si>
  <si>
    <t>513 Celkem</t>
  </si>
  <si>
    <t>telefony stolní</t>
  </si>
  <si>
    <t>telefax</t>
  </si>
  <si>
    <t>internet</t>
  </si>
  <si>
    <t>telefony mobilní</t>
  </si>
  <si>
    <t>spotřeba pošt. známek</t>
  </si>
  <si>
    <t>poukázečné</t>
  </si>
  <si>
    <t xml:space="preserve">plac. v hot. na poště, </t>
  </si>
  <si>
    <t>518 Celkem</t>
  </si>
  <si>
    <t>Spoje</t>
  </si>
  <si>
    <t>210+40</t>
  </si>
  <si>
    <t>nájemné - místnosti (vč.Kol.)</t>
  </si>
  <si>
    <t>zapůjčení cizích vozidel</t>
  </si>
  <si>
    <t>parkovací místa</t>
  </si>
  <si>
    <t>zapůjčení ostatní</t>
  </si>
  <si>
    <t>lektoři vzděl ús</t>
  </si>
  <si>
    <t>ost. sl. pro CZ-NL</t>
  </si>
  <si>
    <t>ostatní sl pro vzděl ús</t>
  </si>
  <si>
    <t>právní služby</t>
  </si>
  <si>
    <t>ekonomické služby</t>
  </si>
  <si>
    <t>posudky/porad. služby</t>
  </si>
  <si>
    <t>překlady</t>
  </si>
  <si>
    <t>softwarové služby</t>
  </si>
  <si>
    <t>supervize</t>
  </si>
  <si>
    <t>Modré z nebe</t>
  </si>
  <si>
    <t>reklama a prop.</t>
  </si>
  <si>
    <t>školení a kurzy zam. ústředí</t>
  </si>
  <si>
    <t>školení a kurzy zam. středisek</t>
  </si>
  <si>
    <t>810+20</t>
  </si>
  <si>
    <t>poř. cena DDNM (SW)</t>
  </si>
  <si>
    <t>odvoz dom odpadu</t>
  </si>
  <si>
    <t>revize zařízení</t>
  </si>
  <si>
    <t>přepravné</t>
  </si>
  <si>
    <t>kopírování</t>
  </si>
  <si>
    <t>inzerce</t>
  </si>
  <si>
    <t>99.</t>
  </si>
  <si>
    <t>další služby (ozv. sálu)</t>
  </si>
  <si>
    <t>ostatní služby</t>
  </si>
  <si>
    <t>511-18 Celk.</t>
  </si>
  <si>
    <t>Služby celkem</t>
  </si>
  <si>
    <t>mzdy zaměstnanců</t>
  </si>
  <si>
    <t>DPČ</t>
  </si>
  <si>
    <t>DPP</t>
  </si>
  <si>
    <t>Mzd. nákl.</t>
  </si>
  <si>
    <t>521 Celkem</t>
  </si>
  <si>
    <t>Mzdy (vč. DPP a DPČ)</t>
  </si>
  <si>
    <t>zákonné zdrav pojištění</t>
  </si>
  <si>
    <t>zákonné sociální pojištění</t>
  </si>
  <si>
    <t>524 Celkem</t>
  </si>
  <si>
    <t>SZ a ZP</t>
  </si>
  <si>
    <t>příspěvek na stravování</t>
  </si>
  <si>
    <t>ost. nákl. civ. sl.</t>
  </si>
  <si>
    <t>52 Celkem</t>
  </si>
  <si>
    <t>Osobní náklady</t>
  </si>
  <si>
    <t>532 Celkem</t>
  </si>
  <si>
    <t>daně z nemovitostí</t>
  </si>
  <si>
    <t>101-2</t>
  </si>
  <si>
    <t>správní poplatky</t>
  </si>
  <si>
    <t>dálniční známky ČR</t>
  </si>
  <si>
    <t>dálniční známky zahran.</t>
  </si>
  <si>
    <t>účastn. popl.</t>
  </si>
  <si>
    <t>ostatní daně a poplatky</t>
  </si>
  <si>
    <t>538 Celkem</t>
  </si>
  <si>
    <t>Daně a poplatky</t>
  </si>
  <si>
    <t>000</t>
  </si>
  <si>
    <t>Odpis nedobytné pohl.</t>
  </si>
  <si>
    <t>543 Celkem</t>
  </si>
  <si>
    <t>Kurzové ztráty</t>
  </si>
  <si>
    <t>545 Celkem</t>
  </si>
  <si>
    <t>Kursové ztráty</t>
  </si>
  <si>
    <t>Dary</t>
  </si>
  <si>
    <t>546 Celkem</t>
  </si>
  <si>
    <t>Povinné ručení všechna auta</t>
  </si>
  <si>
    <t>Cestovní pojištění osob</t>
  </si>
  <si>
    <t>Zákonná odpov. za zaměstn.</t>
  </si>
  <si>
    <t>Felicia combi havarie</t>
  </si>
  <si>
    <t>Léčebné výlohy v zahraničí</t>
  </si>
  <si>
    <t>Nemovitost - Kolín</t>
  </si>
  <si>
    <t>Dům + kanceláře Belgická 22</t>
  </si>
  <si>
    <t>Octavia - úraz</t>
  </si>
  <si>
    <t>Octavia - havarie</t>
  </si>
  <si>
    <t>odpov. zam. za škodu</t>
  </si>
  <si>
    <t>Fabia combi havárie</t>
  </si>
  <si>
    <t>549 Celkem</t>
  </si>
  <si>
    <t>Pojistné</t>
  </si>
  <si>
    <t>bankovní poplatky</t>
  </si>
  <si>
    <t>ostat. náklady jinde neuved.</t>
  </si>
  <si>
    <t>Ostatní vč. bank. popl.</t>
  </si>
  <si>
    <t xml:space="preserve">odpisy </t>
  </si>
  <si>
    <t>mim. odpisy - prodej domu, Felicia</t>
  </si>
  <si>
    <t>551 Celkem</t>
  </si>
  <si>
    <t xml:space="preserve">Odpisy </t>
  </si>
  <si>
    <t>E.D. konference</t>
  </si>
  <si>
    <t>...</t>
  </si>
  <si>
    <t>Přísp ost organizacím</t>
  </si>
  <si>
    <t>582 Celkem</t>
  </si>
  <si>
    <t>Přísp. ost. organ.</t>
  </si>
  <si>
    <t>Náklady celkem</t>
  </si>
  <si>
    <t>č.účtu</t>
  </si>
  <si>
    <t>název účtu</t>
  </si>
  <si>
    <t>služby střediskům</t>
  </si>
  <si>
    <t>příjmy z kurzů a školení</t>
  </si>
  <si>
    <t xml:space="preserve">přj. z hl.č. úhr. hostů </t>
  </si>
  <si>
    <t xml:space="preserve">mim. příjmy - prodej domu </t>
  </si>
  <si>
    <t>9..</t>
  </si>
  <si>
    <t>příjmy z pronájmů</t>
  </si>
  <si>
    <t>601+800</t>
  </si>
  <si>
    <t xml:space="preserve">zapůjčení vozidel </t>
  </si>
  <si>
    <t>tržby za prod. zboží</t>
  </si>
  <si>
    <t>…</t>
  </si>
  <si>
    <t>úroky</t>
  </si>
  <si>
    <t>kurzové zisky</t>
  </si>
  <si>
    <t>100</t>
  </si>
  <si>
    <t>zúčt. FKSP</t>
  </si>
  <si>
    <t>403</t>
  </si>
  <si>
    <t>405</t>
  </si>
  <si>
    <t>zúčt. Vzděl. MZ ČR</t>
  </si>
  <si>
    <t>406</t>
  </si>
  <si>
    <t>zúčt. Vzděl. SPIN</t>
  </si>
  <si>
    <t>dotace - MPSV</t>
  </si>
  <si>
    <t>Nadace</t>
  </si>
  <si>
    <t>dary zahran. církví</t>
  </si>
  <si>
    <t>přísp a dary od soukr  tuz</t>
  </si>
  <si>
    <t>Tržby a výnosy celkem</t>
  </si>
  <si>
    <t xml:space="preserve">Hospodářský výsledek </t>
  </si>
  <si>
    <t>MZ ČR</t>
  </si>
  <si>
    <t xml:space="preserve">    </t>
  </si>
  <si>
    <t>zúčt. Vzděl. NL CZ</t>
  </si>
  <si>
    <t>Reprezentace, zahr. návštěvy</t>
  </si>
  <si>
    <t>zúčt. fondu darů - uprchlíci</t>
  </si>
  <si>
    <t>zúčtování fondu Povodně</t>
  </si>
  <si>
    <t>zúčt. fondu dary k voln. použití</t>
  </si>
  <si>
    <t>mimořádné výnosy</t>
  </si>
  <si>
    <t>příjmy z rekl. vč. Zpravodaje</t>
  </si>
  <si>
    <t>Náklady a výnosy ústředí Diakonie ČCE - porovnání plánu 2002 a skutečnosti v r. 2002</t>
  </si>
  <si>
    <t>vše v kolonce z ostatních činností</t>
  </si>
  <si>
    <t>Rozpis příjmů středisek a ústředí za rok 2002</t>
  </si>
  <si>
    <t>Tab. č. 1</t>
  </si>
  <si>
    <t>Rozpis nákladů středisek a ústředí za rok 2002</t>
  </si>
  <si>
    <t>Tab. č. 2</t>
  </si>
  <si>
    <t>Výsledek hospodaření středisek a ústředí za rok 2002</t>
  </si>
  <si>
    <t>Tab. č. 3</t>
  </si>
  <si>
    <t>Tab. č. 4</t>
  </si>
  <si>
    <t>Tab. č. 6</t>
  </si>
  <si>
    <t>Počty klientů a zaměstnanců středisek Diakonie ČCE v roce 2002</t>
  </si>
  <si>
    <t>Tab. č. 5</t>
  </si>
  <si>
    <t xml:space="preserve">Výnosy ústředí porovnání plánu a skutečnosti v r. 2002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</si>
</sst>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</numFmts>
  <fonts count="73">
    <font>
      <sz val="10"/>
      <name val="Arial"/>
      <family val="0"/>
    </font>
    <font>
      <b/>
      <sz val="10"/>
      <name val="Arial"/>
      <family val="2"/>
    </font>
    <font>
      <sz val="10"/>
      <color indexed="16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Tahoma"/>
      <family val="0"/>
    </font>
    <font>
      <sz val="8"/>
      <color indexed="16"/>
      <name val="Arial"/>
      <family val="0"/>
    </font>
    <font>
      <sz val="10"/>
      <color indexed="60"/>
      <name val="Arial"/>
      <family val="0"/>
    </font>
    <font>
      <sz val="10"/>
      <color indexed="58"/>
      <name val="Arial"/>
      <family val="0"/>
    </font>
    <font>
      <b/>
      <sz val="8"/>
      <color indexed="18"/>
      <name val="Arial"/>
      <family val="2"/>
    </font>
    <font>
      <b/>
      <sz val="11"/>
      <color indexed="18"/>
      <name val="Arial"/>
      <family val="2"/>
    </font>
    <font>
      <b/>
      <sz val="15.5"/>
      <name val="Arial CE"/>
      <family val="2"/>
    </font>
    <font>
      <sz val="24.25"/>
      <name val="Arial CE"/>
      <family val="0"/>
    </font>
    <font>
      <b/>
      <sz val="9.5"/>
      <name val="Arial CE"/>
      <family val="2"/>
    </font>
    <font>
      <sz val="10.5"/>
      <name val="Arial CE"/>
      <family val="2"/>
    </font>
    <font>
      <b/>
      <sz val="10.5"/>
      <name val="Arial CE"/>
      <family val="2"/>
    </font>
    <font>
      <sz val="8"/>
      <name val="Arial CE"/>
      <family val="2"/>
    </font>
    <font>
      <b/>
      <sz val="8.75"/>
      <name val="Arial CE"/>
      <family val="2"/>
    </font>
    <font>
      <sz val="12"/>
      <name val="Arial CE"/>
      <family val="2"/>
    </font>
    <font>
      <b/>
      <u val="single"/>
      <sz val="16"/>
      <name val="Arial CE"/>
      <family val="2"/>
    </font>
    <font>
      <u val="single"/>
      <sz val="16"/>
      <name val="Arial CE"/>
      <family val="2"/>
    </font>
    <font>
      <b/>
      <sz val="12"/>
      <name val="Arial CE"/>
      <family val="2"/>
    </font>
    <font>
      <b/>
      <u val="single"/>
      <sz val="14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17.5"/>
      <name val="Arial CE"/>
      <family val="2"/>
    </font>
    <font>
      <sz val="24.5"/>
      <name val="Arial CE"/>
      <family val="0"/>
    </font>
    <font>
      <b/>
      <sz val="10.75"/>
      <name val="Arial CE"/>
      <family val="2"/>
    </font>
    <font>
      <sz val="8.75"/>
      <name val="Arial CE"/>
      <family val="2"/>
    </font>
    <font>
      <b/>
      <sz val="9.75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sz val="10"/>
      <name val="Arial CE"/>
      <family val="2"/>
    </font>
    <font>
      <b/>
      <u val="single"/>
      <sz val="12"/>
      <color indexed="58"/>
      <name val="Arial CE"/>
      <family val="2"/>
    </font>
    <font>
      <sz val="11"/>
      <color indexed="58"/>
      <name val="Arial CE"/>
      <family val="2"/>
    </font>
    <font>
      <b/>
      <sz val="12"/>
      <color indexed="58"/>
      <name val="Arial CE"/>
      <family val="2"/>
    </font>
    <font>
      <sz val="10"/>
      <color indexed="58"/>
      <name val="Arial CE"/>
      <family val="2"/>
    </font>
    <font>
      <b/>
      <sz val="9"/>
      <color indexed="58"/>
      <name val="Arial CE"/>
      <family val="2"/>
    </font>
    <font>
      <sz val="12"/>
      <color indexed="58"/>
      <name val="Arial CE"/>
      <family val="2"/>
    </font>
    <font>
      <b/>
      <sz val="10"/>
      <color indexed="58"/>
      <name val="Arial CE"/>
      <family val="2"/>
    </font>
    <font>
      <b/>
      <sz val="11"/>
      <color indexed="58"/>
      <name val="Arial CE"/>
      <family val="2"/>
    </font>
    <font>
      <b/>
      <i/>
      <sz val="12"/>
      <color indexed="58"/>
      <name val="Arial CE"/>
      <family val="2"/>
    </font>
    <font>
      <b/>
      <i/>
      <sz val="10"/>
      <color indexed="58"/>
      <name val="Arial CE"/>
      <family val="2"/>
    </font>
    <font>
      <i/>
      <sz val="10"/>
      <color indexed="58"/>
      <name val="Arial CE"/>
      <family val="2"/>
    </font>
    <font>
      <b/>
      <i/>
      <sz val="11"/>
      <color indexed="58"/>
      <name val="Arial CE"/>
      <family val="2"/>
    </font>
    <font>
      <sz val="10"/>
      <color indexed="59"/>
      <name val="Arial"/>
      <family val="0"/>
    </font>
    <font>
      <b/>
      <sz val="12"/>
      <color indexed="59"/>
      <name val="Arial CE"/>
      <family val="2"/>
    </font>
    <font>
      <sz val="7.5"/>
      <name val="Arial CE"/>
      <family val="2"/>
    </font>
    <font>
      <b/>
      <sz val="8"/>
      <color indexed="16"/>
      <name val="Arial"/>
      <family val="2"/>
    </font>
    <font>
      <b/>
      <sz val="8"/>
      <color indexed="58"/>
      <name val="Arial"/>
      <family val="2"/>
    </font>
    <font>
      <b/>
      <sz val="8"/>
      <name val="Arial"/>
      <family val="2"/>
    </font>
    <font>
      <b/>
      <sz val="11"/>
      <color indexed="16"/>
      <name val="Arial"/>
      <family val="2"/>
    </font>
    <font>
      <b/>
      <sz val="11"/>
      <name val="Arial"/>
      <family val="2"/>
    </font>
    <font>
      <sz val="8"/>
      <color indexed="60"/>
      <name val="Arial"/>
      <family val="0"/>
    </font>
    <font>
      <b/>
      <sz val="7.5"/>
      <color indexed="18"/>
      <name val="Arial"/>
      <family val="2"/>
    </font>
    <font>
      <sz val="9"/>
      <color indexed="58"/>
      <name val="Arial CE"/>
      <family val="2"/>
    </font>
    <font>
      <sz val="12"/>
      <color indexed="5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0"/>
      <color indexed="59"/>
      <name val="Arial CE"/>
      <family val="2"/>
    </font>
    <font>
      <b/>
      <sz val="17.75"/>
      <name val="Arial CE"/>
      <family val="2"/>
    </font>
    <font>
      <sz val="24"/>
      <name val="Arial CE"/>
      <family val="0"/>
    </font>
    <font>
      <b/>
      <sz val="11"/>
      <name val="Arial CE"/>
      <family val="2"/>
    </font>
    <font>
      <b/>
      <sz val="10"/>
      <color indexed="59"/>
      <name val="Arial"/>
      <family val="2"/>
    </font>
    <font>
      <b/>
      <sz val="10"/>
      <color indexed="58"/>
      <name val="Arial"/>
      <family val="2"/>
    </font>
    <font>
      <u val="single"/>
      <sz val="12"/>
      <name val="Arial"/>
      <family val="0"/>
    </font>
    <font>
      <b/>
      <u val="single"/>
      <sz val="12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8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3" fontId="18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3" fontId="7" fillId="2" borderId="1" xfId="0" applyNumberFormat="1" applyFont="1" applyFill="1" applyBorder="1" applyAlignment="1">
      <alignment/>
    </xf>
    <xf numFmtId="3" fontId="7" fillId="2" borderId="2" xfId="0" applyNumberFormat="1" applyFont="1" applyFill="1" applyBorder="1" applyAlignment="1">
      <alignment/>
    </xf>
    <xf numFmtId="0" fontId="1" fillId="2" borderId="0" xfId="0" applyFont="1" applyFill="1" applyAlignment="1">
      <alignment textRotation="50" wrapText="1"/>
    </xf>
    <xf numFmtId="0" fontId="48" fillId="2" borderId="0" xfId="0" applyFont="1" applyFill="1" applyAlignment="1">
      <alignment/>
    </xf>
    <xf numFmtId="0" fontId="48" fillId="2" borderId="3" xfId="0" applyFont="1" applyFill="1" applyBorder="1" applyAlignment="1">
      <alignment horizontal="center"/>
    </xf>
    <xf numFmtId="0" fontId="48" fillId="2" borderId="4" xfId="0" applyFont="1" applyFill="1" applyBorder="1" applyAlignment="1">
      <alignment horizontal="center"/>
    </xf>
    <xf numFmtId="0" fontId="48" fillId="2" borderId="5" xfId="0" applyFont="1" applyFill="1" applyBorder="1" applyAlignment="1">
      <alignment/>
    </xf>
    <xf numFmtId="3" fontId="48" fillId="2" borderId="6" xfId="0" applyNumberFormat="1" applyFont="1" applyFill="1" applyBorder="1" applyAlignment="1">
      <alignment/>
    </xf>
    <xf numFmtId="3" fontId="48" fillId="2" borderId="7" xfId="0" applyNumberFormat="1" applyFont="1" applyFill="1" applyBorder="1" applyAlignment="1">
      <alignment/>
    </xf>
    <xf numFmtId="3" fontId="48" fillId="2" borderId="8" xfId="0" applyNumberFormat="1" applyFont="1" applyFill="1" applyBorder="1" applyAlignment="1">
      <alignment/>
    </xf>
    <xf numFmtId="3" fontId="48" fillId="2" borderId="9" xfId="0" applyNumberFormat="1" applyFont="1" applyFill="1" applyBorder="1" applyAlignment="1">
      <alignment/>
    </xf>
    <xf numFmtId="3" fontId="48" fillId="2" borderId="10" xfId="0" applyNumberFormat="1" applyFont="1" applyFill="1" applyBorder="1" applyAlignment="1">
      <alignment/>
    </xf>
    <xf numFmtId="3" fontId="48" fillId="2" borderId="11" xfId="0" applyNumberFormat="1" applyFont="1" applyFill="1" applyBorder="1" applyAlignment="1">
      <alignment/>
    </xf>
    <xf numFmtId="3" fontId="48" fillId="2" borderId="12" xfId="0" applyNumberFormat="1" applyFont="1" applyFill="1" applyBorder="1" applyAlignment="1">
      <alignment/>
    </xf>
    <xf numFmtId="3" fontId="48" fillId="2" borderId="13" xfId="0" applyNumberFormat="1" applyFont="1" applyFill="1" applyBorder="1" applyAlignment="1">
      <alignment/>
    </xf>
    <xf numFmtId="0" fontId="49" fillId="2" borderId="14" xfId="0" applyFont="1" applyFill="1" applyBorder="1" applyAlignment="1">
      <alignment/>
    </xf>
    <xf numFmtId="3" fontId="49" fillId="2" borderId="15" xfId="0" applyNumberFormat="1" applyFont="1" applyFill="1" applyBorder="1" applyAlignment="1">
      <alignment/>
    </xf>
    <xf numFmtId="3" fontId="49" fillId="2" borderId="5" xfId="0" applyNumberFormat="1" applyFont="1" applyFill="1" applyBorder="1" applyAlignment="1">
      <alignment/>
    </xf>
    <xf numFmtId="49" fontId="48" fillId="2" borderId="0" xfId="0" applyNumberFormat="1" applyFont="1" applyFill="1" applyAlignment="1">
      <alignment horizontal="left"/>
    </xf>
    <xf numFmtId="3" fontId="7" fillId="2" borderId="16" xfId="0" applyNumberFormat="1" applyFont="1" applyFill="1" applyBorder="1" applyAlignment="1">
      <alignment/>
    </xf>
    <xf numFmtId="0" fontId="53" fillId="2" borderId="0" xfId="0" applyFont="1" applyFill="1" applyAlignment="1">
      <alignment textRotation="90" wrapText="1"/>
    </xf>
    <xf numFmtId="0" fontId="55" fillId="2" borderId="0" xfId="0" applyFont="1" applyFill="1" applyAlignment="1">
      <alignment/>
    </xf>
    <xf numFmtId="49" fontId="0" fillId="2" borderId="0" xfId="0" applyNumberFormat="1" applyFill="1" applyAlignment="1">
      <alignment horizontal="left"/>
    </xf>
    <xf numFmtId="0" fontId="22" fillId="2" borderId="0" xfId="0" applyFont="1" applyFill="1" applyAlignment="1">
      <alignment/>
    </xf>
    <xf numFmtId="0" fontId="21" fillId="2" borderId="0" xfId="0" applyFont="1" applyFill="1" applyBorder="1" applyAlignment="1">
      <alignment/>
    </xf>
    <xf numFmtId="0" fontId="24" fillId="2" borderId="17" xfId="0" applyFont="1" applyFill="1" applyBorder="1" applyAlignment="1">
      <alignment/>
    </xf>
    <xf numFmtId="0" fontId="24" fillId="2" borderId="18" xfId="0" applyFont="1" applyFill="1" applyBorder="1" applyAlignment="1">
      <alignment/>
    </xf>
    <xf numFmtId="0" fontId="24" fillId="2" borderId="19" xfId="0" applyFont="1" applyFill="1" applyBorder="1" applyAlignment="1">
      <alignment/>
    </xf>
    <xf numFmtId="0" fontId="24" fillId="2" borderId="20" xfId="0" applyFont="1" applyFill="1" applyBorder="1" applyAlignment="1">
      <alignment/>
    </xf>
    <xf numFmtId="0" fontId="35" fillId="2" borderId="21" xfId="0" applyFont="1" applyFill="1" applyBorder="1" applyAlignment="1">
      <alignment/>
    </xf>
    <xf numFmtId="0" fontId="24" fillId="2" borderId="22" xfId="0" applyFont="1" applyFill="1" applyBorder="1" applyAlignment="1">
      <alignment/>
    </xf>
    <xf numFmtId="0" fontId="24" fillId="2" borderId="23" xfId="0" applyFont="1" applyFill="1" applyBorder="1" applyAlignment="1">
      <alignment/>
    </xf>
    <xf numFmtId="0" fontId="24" fillId="2" borderId="2" xfId="0" applyFont="1" applyFill="1" applyBorder="1" applyAlignment="1">
      <alignment/>
    </xf>
    <xf numFmtId="3" fontId="24" fillId="2" borderId="2" xfId="0" applyNumberFormat="1" applyFont="1" applyFill="1" applyBorder="1" applyAlignment="1">
      <alignment/>
    </xf>
    <xf numFmtId="0" fontId="24" fillId="2" borderId="24" xfId="0" applyFont="1" applyFill="1" applyBorder="1" applyAlignment="1">
      <alignment/>
    </xf>
    <xf numFmtId="0" fontId="24" fillId="2" borderId="8" xfId="0" applyFont="1" applyFill="1" applyBorder="1" applyAlignment="1">
      <alignment/>
    </xf>
    <xf numFmtId="3" fontId="24" fillId="2" borderId="6" xfId="0" applyNumberFormat="1" applyFont="1" applyFill="1" applyBorder="1" applyAlignment="1">
      <alignment/>
    </xf>
    <xf numFmtId="3" fontId="24" fillId="2" borderId="16" xfId="0" applyNumberFormat="1" applyFont="1" applyFill="1" applyBorder="1" applyAlignment="1">
      <alignment/>
    </xf>
    <xf numFmtId="3" fontId="24" fillId="2" borderId="25" xfId="0" applyNumberFormat="1" applyFont="1" applyFill="1" applyBorder="1" applyAlignment="1">
      <alignment/>
    </xf>
    <xf numFmtId="3" fontId="24" fillId="2" borderId="9" xfId="0" applyNumberFormat="1" applyFont="1" applyFill="1" applyBorder="1" applyAlignment="1">
      <alignment/>
    </xf>
    <xf numFmtId="3" fontId="24" fillId="2" borderId="1" xfId="0" applyNumberFormat="1" applyFont="1" applyFill="1" applyBorder="1" applyAlignment="1">
      <alignment/>
    </xf>
    <xf numFmtId="3" fontId="24" fillId="2" borderId="8" xfId="0" applyNumberFormat="1" applyFont="1" applyFill="1" applyBorder="1" applyAlignment="1">
      <alignment/>
    </xf>
    <xf numFmtId="3" fontId="24" fillId="2" borderId="1" xfId="0" applyNumberFormat="1" applyFont="1" applyFill="1" applyBorder="1" applyAlignment="1">
      <alignment horizontal="right"/>
    </xf>
    <xf numFmtId="0" fontId="33" fillId="2" borderId="8" xfId="0" applyFont="1" applyFill="1" applyBorder="1" applyAlignment="1">
      <alignment/>
    </xf>
    <xf numFmtId="0" fontId="24" fillId="2" borderId="26" xfId="0" applyFont="1" applyFill="1" applyBorder="1" applyAlignment="1">
      <alignment/>
    </xf>
    <xf numFmtId="3" fontId="24" fillId="2" borderId="11" xfId="0" applyNumberFormat="1" applyFont="1" applyFill="1" applyBorder="1" applyAlignment="1">
      <alignment/>
    </xf>
    <xf numFmtId="3" fontId="24" fillId="2" borderId="27" xfId="0" applyNumberFormat="1" applyFont="1" applyFill="1" applyBorder="1" applyAlignment="1">
      <alignment/>
    </xf>
    <xf numFmtId="3" fontId="24" fillId="2" borderId="26" xfId="0" applyNumberFormat="1" applyFont="1" applyFill="1" applyBorder="1" applyAlignment="1">
      <alignment/>
    </xf>
    <xf numFmtId="0" fontId="24" fillId="2" borderId="15" xfId="0" applyFont="1" applyFill="1" applyBorder="1" applyAlignment="1">
      <alignment/>
    </xf>
    <xf numFmtId="3" fontId="35" fillId="2" borderId="3" xfId="0" applyNumberFormat="1" applyFont="1" applyFill="1" applyBorder="1" applyAlignment="1">
      <alignment/>
    </xf>
    <xf numFmtId="3" fontId="35" fillId="2" borderId="28" xfId="0" applyNumberFormat="1" applyFont="1" applyFill="1" applyBorder="1" applyAlignment="1">
      <alignment/>
    </xf>
    <xf numFmtId="0" fontId="2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34" fillId="2" borderId="0" xfId="0" applyFont="1" applyFill="1" applyAlignment="1">
      <alignment/>
    </xf>
    <xf numFmtId="49" fontId="0" fillId="2" borderId="0" xfId="0" applyNumberFormat="1" applyFill="1" applyBorder="1" applyAlignment="1">
      <alignment horizontal="left"/>
    </xf>
    <xf numFmtId="0" fontId="62" fillId="2" borderId="14" xfId="0" applyFont="1" applyFill="1" applyBorder="1" applyAlignment="1">
      <alignment/>
    </xf>
    <xf numFmtId="0" fontId="62" fillId="2" borderId="22" xfId="0" applyFont="1" applyFill="1" applyBorder="1" applyAlignment="1">
      <alignment/>
    </xf>
    <xf numFmtId="0" fontId="62" fillId="2" borderId="8" xfId="0" applyFont="1" applyFill="1" applyBorder="1" applyAlignment="1">
      <alignment/>
    </xf>
    <xf numFmtId="0" fontId="62" fillId="2" borderId="26" xfId="0" applyFont="1" applyFill="1" applyBorder="1" applyAlignment="1">
      <alignment/>
    </xf>
    <xf numFmtId="0" fontId="0" fillId="2" borderId="22" xfId="0" applyFill="1" applyBorder="1" applyAlignment="1">
      <alignment/>
    </xf>
    <xf numFmtId="0" fontId="16" fillId="2" borderId="29" xfId="0" applyFont="1" applyFill="1" applyBorder="1" applyAlignment="1">
      <alignment/>
    </xf>
    <xf numFmtId="0" fontId="50" fillId="2" borderId="18" xfId="0" applyFont="1" applyFill="1" applyBorder="1" applyAlignment="1">
      <alignment/>
    </xf>
    <xf numFmtId="0" fontId="16" fillId="2" borderId="20" xfId="0" applyFont="1" applyFill="1" applyBorder="1" applyAlignment="1">
      <alignment/>
    </xf>
    <xf numFmtId="0" fontId="16" fillId="2" borderId="18" xfId="0" applyFont="1" applyFill="1" applyBorder="1" applyAlignment="1">
      <alignment/>
    </xf>
    <xf numFmtId="0" fontId="16" fillId="2" borderId="30" xfId="0" applyFont="1" applyFill="1" applyBorder="1" applyAlignment="1">
      <alignment/>
    </xf>
    <xf numFmtId="0" fontId="31" fillId="2" borderId="18" xfId="0" applyFont="1" applyFill="1" applyBorder="1" applyAlignment="1">
      <alignment/>
    </xf>
    <xf numFmtId="0" fontId="16" fillId="2" borderId="19" xfId="0" applyFont="1" applyFill="1" applyBorder="1" applyAlignment="1">
      <alignment/>
    </xf>
    <xf numFmtId="0" fontId="32" fillId="2" borderId="25" xfId="0" applyFont="1" applyFill="1" applyBorder="1" applyAlignment="1">
      <alignment/>
    </xf>
    <xf numFmtId="0" fontId="24" fillId="2" borderId="5" xfId="0" applyFont="1" applyFill="1" applyBorder="1" applyAlignment="1">
      <alignment/>
    </xf>
    <xf numFmtId="0" fontId="16" fillId="2" borderId="23" xfId="0" applyFont="1" applyFill="1" applyBorder="1" applyAlignment="1">
      <alignment/>
    </xf>
    <xf numFmtId="0" fontId="16" fillId="2" borderId="2" xfId="0" applyFont="1" applyFill="1" applyBorder="1" applyAlignment="1">
      <alignment/>
    </xf>
    <xf numFmtId="0" fontId="16" fillId="2" borderId="31" xfId="0" applyFont="1" applyFill="1" applyBorder="1" applyAlignment="1">
      <alignment/>
    </xf>
    <xf numFmtId="3" fontId="31" fillId="2" borderId="2" xfId="0" applyNumberFormat="1" applyFont="1" applyFill="1" applyBorder="1" applyAlignment="1">
      <alignment/>
    </xf>
    <xf numFmtId="0" fontId="31" fillId="2" borderId="2" xfId="0" applyFont="1" applyFill="1" applyBorder="1" applyAlignment="1">
      <alignment/>
    </xf>
    <xf numFmtId="0" fontId="33" fillId="2" borderId="26" xfId="0" applyFont="1" applyFill="1" applyBorder="1" applyAlignment="1">
      <alignment/>
    </xf>
    <xf numFmtId="0" fontId="24" fillId="2" borderId="32" xfId="0" applyFont="1" applyFill="1" applyBorder="1" applyAlignment="1">
      <alignment/>
    </xf>
    <xf numFmtId="3" fontId="24" fillId="2" borderId="33" xfId="0" applyNumberFormat="1" applyFont="1" applyFill="1" applyBorder="1" applyAlignment="1">
      <alignment/>
    </xf>
    <xf numFmtId="3" fontId="24" fillId="2" borderId="34" xfId="0" applyNumberFormat="1" applyFont="1" applyFill="1" applyBorder="1" applyAlignment="1">
      <alignment/>
    </xf>
    <xf numFmtId="3" fontId="24" fillId="2" borderId="35" xfId="0" applyNumberFormat="1" applyFont="1" applyFill="1" applyBorder="1" applyAlignment="1">
      <alignment/>
    </xf>
    <xf numFmtId="3" fontId="24" fillId="2" borderId="32" xfId="0" applyNumberFormat="1" applyFont="1" applyFill="1" applyBorder="1" applyAlignment="1">
      <alignment/>
    </xf>
    <xf numFmtId="3" fontId="24" fillId="2" borderId="10" xfId="0" applyNumberFormat="1" applyFont="1" applyFill="1" applyBorder="1" applyAlignment="1">
      <alignment/>
    </xf>
    <xf numFmtId="3" fontId="24" fillId="2" borderId="13" xfId="0" applyNumberFormat="1" applyFont="1" applyFill="1" applyBorder="1" applyAlignment="1">
      <alignment/>
    </xf>
    <xf numFmtId="3" fontId="24" fillId="2" borderId="1" xfId="0" applyNumberFormat="1" applyFont="1" applyFill="1" applyBorder="1" applyAlignment="1">
      <alignment horizontal="center"/>
    </xf>
    <xf numFmtId="0" fontId="0" fillId="2" borderId="13" xfId="0" applyFill="1" applyBorder="1" applyAlignment="1">
      <alignment/>
    </xf>
    <xf numFmtId="3" fontId="24" fillId="2" borderId="12" xfId="0" applyNumberFormat="1" applyFont="1" applyFill="1" applyBorder="1" applyAlignment="1">
      <alignment/>
    </xf>
    <xf numFmtId="0" fontId="33" fillId="2" borderId="5" xfId="0" applyFont="1" applyFill="1" applyBorder="1" applyAlignment="1">
      <alignment/>
    </xf>
    <xf numFmtId="3" fontId="33" fillId="2" borderId="36" xfId="0" applyNumberFormat="1" applyFont="1" applyFill="1" applyBorder="1" applyAlignment="1">
      <alignment/>
    </xf>
    <xf numFmtId="3" fontId="33" fillId="2" borderId="3" xfId="0" applyNumberFormat="1" applyFont="1" applyFill="1" applyBorder="1" applyAlignment="1">
      <alignment/>
    </xf>
    <xf numFmtId="3" fontId="33" fillId="2" borderId="4" xfId="0" applyNumberFormat="1" applyFont="1" applyFill="1" applyBorder="1" applyAlignment="1">
      <alignment/>
    </xf>
    <xf numFmtId="3" fontId="33" fillId="2" borderId="5" xfId="0" applyNumberFormat="1" applyFont="1" applyFill="1" applyBorder="1" applyAlignment="1">
      <alignment/>
    </xf>
    <xf numFmtId="0" fontId="19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0" fillId="2" borderId="0" xfId="0" applyFill="1" applyAlignment="1">
      <alignment horizontal="right"/>
    </xf>
    <xf numFmtId="0" fontId="60" fillId="2" borderId="17" xfId="0" applyFont="1" applyFill="1" applyBorder="1" applyAlignment="1">
      <alignment/>
    </xf>
    <xf numFmtId="3" fontId="21" fillId="2" borderId="37" xfId="0" applyNumberFormat="1" applyFont="1" applyFill="1" applyBorder="1" applyAlignment="1">
      <alignment/>
    </xf>
    <xf numFmtId="0" fontId="60" fillId="2" borderId="38" xfId="0" applyFont="1" applyFill="1" applyBorder="1" applyAlignment="1">
      <alignment/>
    </xf>
    <xf numFmtId="3" fontId="21" fillId="2" borderId="39" xfId="0" applyNumberFormat="1" applyFont="1" applyFill="1" applyBorder="1" applyAlignment="1">
      <alignment/>
    </xf>
    <xf numFmtId="0" fontId="60" fillId="2" borderId="40" xfId="0" applyFont="1" applyFill="1" applyBorder="1" applyAlignment="1">
      <alignment/>
    </xf>
    <xf numFmtId="3" fontId="61" fillId="2" borderId="24" xfId="0" applyNumberFormat="1" applyFont="1" applyFill="1" applyBorder="1" applyAlignment="1">
      <alignment/>
    </xf>
    <xf numFmtId="0" fontId="16" fillId="2" borderId="0" xfId="0" applyFont="1" applyFill="1" applyAlignment="1">
      <alignment/>
    </xf>
    <xf numFmtId="0" fontId="23" fillId="2" borderId="15" xfId="0" applyFont="1" applyFill="1" applyBorder="1" applyAlignment="1">
      <alignment/>
    </xf>
    <xf numFmtId="0" fontId="23" fillId="2" borderId="3" xfId="0" applyFont="1" applyFill="1" applyBorder="1" applyAlignment="1">
      <alignment/>
    </xf>
    <xf numFmtId="0" fontId="0" fillId="2" borderId="28" xfId="0" applyFill="1" applyBorder="1" applyAlignment="1">
      <alignment/>
    </xf>
    <xf numFmtId="3" fontId="0" fillId="2" borderId="0" xfId="0" applyNumberFormat="1" applyFill="1" applyBorder="1" applyAlignment="1">
      <alignment/>
    </xf>
    <xf numFmtId="3" fontId="21" fillId="2" borderId="41" xfId="20" applyFont="1" applyFill="1" applyBorder="1">
      <alignment/>
      <protection/>
    </xf>
    <xf numFmtId="0" fontId="18" fillId="2" borderId="16" xfId="0" applyFont="1" applyFill="1" applyBorder="1" applyAlignment="1">
      <alignment/>
    </xf>
    <xf numFmtId="1" fontId="21" fillId="2" borderId="41" xfId="0" applyNumberFormat="1" applyFont="1" applyFill="1" applyBorder="1" applyAlignment="1">
      <alignment/>
    </xf>
    <xf numFmtId="3" fontId="60" fillId="2" borderId="1" xfId="0" applyNumberFormat="1" applyFont="1" applyFill="1" applyBorder="1" applyAlignment="1">
      <alignment/>
    </xf>
    <xf numFmtId="0" fontId="60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3" fontId="21" fillId="2" borderId="42" xfId="20" applyFont="1" applyFill="1" applyBorder="1">
      <alignment/>
      <protection/>
    </xf>
    <xf numFmtId="0" fontId="18" fillId="2" borderId="1" xfId="0" applyFont="1" applyFill="1" applyBorder="1" applyAlignment="1">
      <alignment/>
    </xf>
    <xf numFmtId="1" fontId="21" fillId="2" borderId="42" xfId="0" applyNumberFormat="1" applyFont="1" applyFill="1" applyBorder="1" applyAlignment="1">
      <alignment/>
    </xf>
    <xf numFmtId="0" fontId="60" fillId="2" borderId="10" xfId="0" applyFont="1" applyFill="1" applyBorder="1" applyAlignment="1">
      <alignment/>
    </xf>
    <xf numFmtId="0" fontId="0" fillId="2" borderId="27" xfId="0" applyFill="1" applyBorder="1" applyAlignment="1">
      <alignment/>
    </xf>
    <xf numFmtId="0" fontId="0" fillId="2" borderId="9" xfId="0" applyFill="1" applyBorder="1" applyAlignment="1">
      <alignment/>
    </xf>
    <xf numFmtId="3" fontId="60" fillId="2" borderId="10" xfId="0" applyNumberFormat="1" applyFont="1" applyFill="1" applyBorder="1" applyAlignment="1">
      <alignment/>
    </xf>
    <xf numFmtId="3" fontId="16" fillId="2" borderId="0" xfId="0" applyNumberFormat="1" applyFont="1" applyFill="1" applyBorder="1" applyAlignment="1">
      <alignment/>
    </xf>
    <xf numFmtId="3" fontId="18" fillId="2" borderId="1" xfId="0" applyNumberFormat="1" applyFont="1" applyFill="1" applyBorder="1" applyAlignment="1">
      <alignment/>
    </xf>
    <xf numFmtId="3" fontId="18" fillId="2" borderId="16" xfId="0" applyNumberFormat="1" applyFont="1" applyFill="1" applyBorder="1" applyAlignment="1">
      <alignment/>
    </xf>
    <xf numFmtId="3" fontId="16" fillId="2" borderId="16" xfId="0" applyNumberFormat="1" applyFont="1" applyFill="1" applyBorder="1" applyAlignment="1">
      <alignment/>
    </xf>
    <xf numFmtId="3" fontId="21" fillId="2" borderId="39" xfId="20" applyFont="1" applyFill="1" applyBorder="1">
      <alignment/>
      <protection/>
    </xf>
    <xf numFmtId="0" fontId="18" fillId="2" borderId="27" xfId="0" applyFont="1" applyFill="1" applyBorder="1" applyAlignment="1">
      <alignment/>
    </xf>
    <xf numFmtId="1" fontId="21" fillId="2" borderId="39" xfId="0" applyNumberFormat="1" applyFont="1" applyFill="1" applyBorder="1" applyAlignment="1">
      <alignment/>
    </xf>
    <xf numFmtId="0" fontId="25" fillId="2" borderId="0" xfId="0" applyFont="1" applyFill="1" applyBorder="1" applyAlignment="1">
      <alignment/>
    </xf>
    <xf numFmtId="3" fontId="21" fillId="2" borderId="15" xfId="0" applyNumberFormat="1" applyFont="1" applyFill="1" applyBorder="1" applyAlignment="1">
      <alignment/>
    </xf>
    <xf numFmtId="0" fontId="18" fillId="2" borderId="3" xfId="0" applyFont="1" applyFill="1" applyBorder="1" applyAlignment="1">
      <alignment/>
    </xf>
    <xf numFmtId="1" fontId="21" fillId="2" borderId="43" xfId="0" applyNumberFormat="1" applyFont="1" applyFill="1" applyBorder="1" applyAlignment="1">
      <alignment/>
    </xf>
    <xf numFmtId="0" fontId="16" fillId="2" borderId="0" xfId="0" applyFont="1" applyFill="1" applyBorder="1" applyAlignment="1">
      <alignment/>
    </xf>
    <xf numFmtId="49" fontId="18" fillId="2" borderId="0" xfId="0" applyNumberFormat="1" applyFont="1" applyFill="1" applyAlignment="1">
      <alignment/>
    </xf>
    <xf numFmtId="3" fontId="18" fillId="2" borderId="44" xfId="20" applyFont="1" applyFill="1" applyBorder="1">
      <alignment/>
      <protection/>
    </xf>
    <xf numFmtId="3" fontId="18" fillId="2" borderId="38" xfId="20" applyFont="1" applyFill="1" applyBorder="1">
      <alignment/>
      <protection/>
    </xf>
    <xf numFmtId="3" fontId="18" fillId="2" borderId="45" xfId="20" applyFont="1" applyFill="1" applyBorder="1">
      <alignment/>
      <protection/>
    </xf>
    <xf numFmtId="0" fontId="0" fillId="2" borderId="10" xfId="0" applyFill="1" applyBorder="1" applyAlignment="1">
      <alignment/>
    </xf>
    <xf numFmtId="3" fontId="18" fillId="2" borderId="10" xfId="20" applyFont="1" applyFill="1" applyBorder="1">
      <alignment/>
      <protection/>
    </xf>
    <xf numFmtId="3" fontId="0" fillId="2" borderId="10" xfId="0" applyNumberFormat="1" applyFill="1" applyBorder="1" applyAlignment="1">
      <alignment/>
    </xf>
    <xf numFmtId="3" fontId="18" fillId="2" borderId="7" xfId="20" applyFont="1" applyFill="1" applyBorder="1">
      <alignment/>
      <protection/>
    </xf>
    <xf numFmtId="0" fontId="0" fillId="2" borderId="6" xfId="0" applyFill="1" applyBorder="1" applyAlignment="1">
      <alignment/>
    </xf>
    <xf numFmtId="3" fontId="18" fillId="2" borderId="10" xfId="0" applyNumberFormat="1" applyFont="1" applyFill="1" applyBorder="1" applyAlignment="1">
      <alignment/>
    </xf>
    <xf numFmtId="0" fontId="60" fillId="2" borderId="12" xfId="0" applyFont="1" applyFill="1" applyBorder="1" applyAlignment="1">
      <alignment/>
    </xf>
    <xf numFmtId="0" fontId="0" fillId="2" borderId="11" xfId="0" applyFill="1" applyBorder="1" applyAlignment="1">
      <alignment/>
    </xf>
    <xf numFmtId="3" fontId="0" fillId="2" borderId="12" xfId="0" applyNumberFormat="1" applyFill="1" applyBorder="1" applyAlignment="1">
      <alignment/>
    </xf>
    <xf numFmtId="3" fontId="18" fillId="2" borderId="46" xfId="0" applyNumberFormat="1" applyFont="1" applyFill="1" applyBorder="1" applyAlignment="1">
      <alignment/>
    </xf>
    <xf numFmtId="3" fontId="16" fillId="2" borderId="9" xfId="0" applyNumberFormat="1" applyFont="1" applyFill="1" applyBorder="1" applyAlignment="1">
      <alignment/>
    </xf>
    <xf numFmtId="0" fontId="60" fillId="2" borderId="27" xfId="0" applyFont="1" applyFill="1" applyBorder="1" applyAlignment="1">
      <alignment/>
    </xf>
    <xf numFmtId="0" fontId="18" fillId="2" borderId="10" xfId="0" applyFont="1" applyFill="1" applyBorder="1" applyAlignment="1">
      <alignment/>
    </xf>
    <xf numFmtId="0" fontId="60" fillId="2" borderId="35" xfId="0" applyFont="1" applyFill="1" applyBorder="1" applyAlignment="1">
      <alignment/>
    </xf>
    <xf numFmtId="0" fontId="0" fillId="2" borderId="33" xfId="0" applyFill="1" applyBorder="1" applyAlignment="1">
      <alignment/>
    </xf>
    <xf numFmtId="0" fontId="36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37" fillId="2" borderId="0" xfId="0" applyFont="1" applyFill="1" applyAlignment="1">
      <alignment/>
    </xf>
    <xf numFmtId="0" fontId="38" fillId="2" borderId="0" xfId="0" applyFont="1" applyFill="1" applyAlignment="1">
      <alignment/>
    </xf>
    <xf numFmtId="3" fontId="8" fillId="2" borderId="0" xfId="0" applyNumberFormat="1" applyFont="1" applyFill="1" applyAlignment="1">
      <alignment/>
    </xf>
    <xf numFmtId="0" fontId="39" fillId="2" borderId="17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38" fillId="2" borderId="19" xfId="0" applyFont="1" applyFill="1" applyBorder="1" applyAlignment="1">
      <alignment horizontal="center"/>
    </xf>
    <xf numFmtId="0" fontId="42" fillId="2" borderId="25" xfId="0" applyFont="1" applyFill="1" applyBorder="1" applyAlignment="1">
      <alignment horizontal="center"/>
    </xf>
    <xf numFmtId="0" fontId="39" fillId="2" borderId="29" xfId="0" applyFont="1" applyFill="1" applyBorder="1" applyAlignment="1">
      <alignment horizontal="center"/>
    </xf>
    <xf numFmtId="3" fontId="39" fillId="2" borderId="18" xfId="0" applyNumberFormat="1" applyFont="1" applyFill="1" applyBorder="1" applyAlignment="1">
      <alignment/>
    </xf>
    <xf numFmtId="0" fontId="42" fillId="2" borderId="37" xfId="0" applyFont="1" applyFill="1" applyBorder="1" applyAlignment="1">
      <alignment horizontal="center"/>
    </xf>
    <xf numFmtId="0" fontId="8" fillId="2" borderId="4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41" fillId="2" borderId="31" xfId="0" applyFont="1" applyFill="1" applyBorder="1" applyAlignment="1">
      <alignment horizontal="center"/>
    </xf>
    <xf numFmtId="0" fontId="41" fillId="2" borderId="26" xfId="0" applyFont="1" applyFill="1" applyBorder="1" applyAlignment="1">
      <alignment horizontal="center"/>
    </xf>
    <xf numFmtId="0" fontId="41" fillId="2" borderId="23" xfId="0" applyFont="1" applyFill="1" applyBorder="1" applyAlignment="1">
      <alignment horizontal="center"/>
    </xf>
    <xf numFmtId="3" fontId="41" fillId="2" borderId="2" xfId="0" applyNumberFormat="1" applyFont="1" applyFill="1" applyBorder="1" applyAlignment="1">
      <alignment horizontal="center"/>
    </xf>
    <xf numFmtId="0" fontId="41" fillId="2" borderId="24" xfId="0" applyFont="1" applyFill="1" applyBorder="1" applyAlignment="1">
      <alignment horizontal="center"/>
    </xf>
    <xf numFmtId="0" fontId="8" fillId="2" borderId="16" xfId="0" applyFont="1" applyFill="1" applyBorder="1" applyAlignment="1">
      <alignment/>
    </xf>
    <xf numFmtId="0" fontId="42" fillId="2" borderId="16" xfId="0" applyFont="1" applyFill="1" applyBorder="1" applyAlignment="1">
      <alignment/>
    </xf>
    <xf numFmtId="3" fontId="43" fillId="2" borderId="16" xfId="0" applyNumberFormat="1" applyFont="1" applyFill="1" applyBorder="1" applyAlignment="1">
      <alignment/>
    </xf>
    <xf numFmtId="3" fontId="43" fillId="2" borderId="7" xfId="0" applyNumberFormat="1" applyFont="1" applyFill="1" applyBorder="1" applyAlignment="1">
      <alignment/>
    </xf>
    <xf numFmtId="4" fontId="37" fillId="2" borderId="47" xfId="0" applyNumberFormat="1" applyFont="1" applyFill="1" applyBorder="1" applyAlignment="1">
      <alignment/>
    </xf>
    <xf numFmtId="3" fontId="8" fillId="2" borderId="7" xfId="0" applyNumberFormat="1" applyFont="1" applyFill="1" applyBorder="1" applyAlignment="1">
      <alignment/>
    </xf>
    <xf numFmtId="3" fontId="43" fillId="2" borderId="25" xfId="0" applyNumberFormat="1" applyFont="1" applyFill="1" applyBorder="1" applyAlignment="1">
      <alignment/>
    </xf>
    <xf numFmtId="4" fontId="37" fillId="2" borderId="1" xfId="0" applyNumberFormat="1" applyFont="1" applyFill="1" applyBorder="1" applyAlignment="1">
      <alignment/>
    </xf>
    <xf numFmtId="3" fontId="8" fillId="2" borderId="10" xfId="0" applyNumberFormat="1" applyFont="1" applyFill="1" applyBorder="1" applyAlignment="1">
      <alignment/>
    </xf>
    <xf numFmtId="3" fontId="43" fillId="2" borderId="48" xfId="0" applyNumberFormat="1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42" fillId="2" borderId="1" xfId="0" applyFont="1" applyFill="1" applyBorder="1" applyAlignment="1">
      <alignment/>
    </xf>
    <xf numFmtId="4" fontId="37" fillId="2" borderId="49" xfId="0" applyNumberFormat="1" applyFont="1" applyFill="1" applyBorder="1" applyAlignment="1">
      <alignment/>
    </xf>
    <xf numFmtId="3" fontId="43" fillId="2" borderId="8" xfId="0" applyNumberFormat="1" applyFont="1" applyFill="1" applyBorder="1" applyAlignment="1">
      <alignment/>
    </xf>
    <xf numFmtId="0" fontId="39" fillId="2" borderId="1" xfId="0" applyFont="1" applyFill="1" applyBorder="1" applyAlignment="1">
      <alignment/>
    </xf>
    <xf numFmtId="0" fontId="8" fillId="2" borderId="27" xfId="0" applyFont="1" applyFill="1" applyBorder="1" applyAlignment="1">
      <alignment/>
    </xf>
    <xf numFmtId="3" fontId="43" fillId="2" borderId="34" xfId="0" applyNumberFormat="1" applyFont="1" applyFill="1" applyBorder="1" applyAlignment="1">
      <alignment/>
    </xf>
    <xf numFmtId="0" fontId="38" fillId="2" borderId="1" xfId="0" applyNumberFormat="1" applyFont="1" applyFill="1" applyBorder="1" applyAlignment="1">
      <alignment/>
    </xf>
    <xf numFmtId="0" fontId="41" fillId="2" borderId="1" xfId="0" applyFont="1" applyFill="1" applyBorder="1" applyAlignment="1">
      <alignment/>
    </xf>
    <xf numFmtId="0" fontId="42" fillId="2" borderId="46" xfId="0" applyFont="1" applyFill="1" applyBorder="1" applyAlignment="1">
      <alignment/>
    </xf>
    <xf numFmtId="3" fontId="43" fillId="2" borderId="50" xfId="0" applyNumberFormat="1" applyFont="1" applyFill="1" applyBorder="1" applyAlignment="1">
      <alignment/>
    </xf>
    <xf numFmtId="3" fontId="38" fillId="2" borderId="10" xfId="0" applyNumberFormat="1" applyFont="1" applyFill="1" applyBorder="1" applyAlignment="1">
      <alignment/>
    </xf>
    <xf numFmtId="3" fontId="38" fillId="2" borderId="8" xfId="0" applyNumberFormat="1" applyFont="1" applyFill="1" applyBorder="1" applyAlignment="1">
      <alignment/>
    </xf>
    <xf numFmtId="0" fontId="41" fillId="2" borderId="0" xfId="0" applyFont="1" applyFill="1" applyAlignment="1">
      <alignment/>
    </xf>
    <xf numFmtId="0" fontId="38" fillId="2" borderId="1" xfId="0" applyFont="1" applyFill="1" applyBorder="1" applyAlignment="1">
      <alignment/>
    </xf>
    <xf numFmtId="0" fontId="38" fillId="2" borderId="1" xfId="0" applyFont="1" applyFill="1" applyBorder="1" applyAlignment="1">
      <alignment horizontal="left"/>
    </xf>
    <xf numFmtId="3" fontId="41" fillId="2" borderId="10" xfId="0" applyNumberFormat="1" applyFont="1" applyFill="1" applyBorder="1" applyAlignment="1">
      <alignment/>
    </xf>
    <xf numFmtId="0" fontId="44" fillId="2" borderId="1" xfId="0" applyFont="1" applyFill="1" applyBorder="1" applyAlignment="1">
      <alignment/>
    </xf>
    <xf numFmtId="3" fontId="39" fillId="2" borderId="10" xfId="0" applyNumberFormat="1" applyFont="1" applyFill="1" applyBorder="1" applyAlignment="1">
      <alignment/>
    </xf>
    <xf numFmtId="0" fontId="42" fillId="2" borderId="0" xfId="0" applyFont="1" applyFill="1" applyAlignment="1">
      <alignment/>
    </xf>
    <xf numFmtId="0" fontId="45" fillId="2" borderId="1" xfId="0" applyFont="1" applyFill="1" applyBorder="1" applyAlignment="1">
      <alignment/>
    </xf>
    <xf numFmtId="0" fontId="42" fillId="2" borderId="46" xfId="0" applyFont="1" applyFill="1" applyBorder="1" applyAlignment="1">
      <alignment wrapText="1"/>
    </xf>
    <xf numFmtId="0" fontId="42" fillId="2" borderId="0" xfId="0" applyFont="1" applyFill="1" applyBorder="1" applyAlignment="1">
      <alignment/>
    </xf>
    <xf numFmtId="0" fontId="41" fillId="2" borderId="1" xfId="0" applyFont="1" applyFill="1" applyBorder="1" applyAlignment="1">
      <alignment horizontal="right"/>
    </xf>
    <xf numFmtId="0" fontId="42" fillId="2" borderId="46" xfId="0" applyFont="1" applyFill="1" applyBorder="1" applyAlignment="1">
      <alignment horizontal="left"/>
    </xf>
    <xf numFmtId="0" fontId="38" fillId="2" borderId="1" xfId="0" applyFont="1" applyFill="1" applyBorder="1" applyAlignment="1">
      <alignment/>
    </xf>
    <xf numFmtId="0" fontId="46" fillId="2" borderId="1" xfId="0" applyFont="1" applyFill="1" applyBorder="1" applyAlignment="1">
      <alignment/>
    </xf>
    <xf numFmtId="3" fontId="43" fillId="2" borderId="10" xfId="0" applyNumberFormat="1" applyFont="1" applyFill="1" applyBorder="1" applyAlignment="1">
      <alignment/>
    </xf>
    <xf numFmtId="0" fontId="42" fillId="2" borderId="50" xfId="0" applyFont="1" applyFill="1" applyBorder="1" applyAlignment="1">
      <alignment/>
    </xf>
    <xf numFmtId="3" fontId="38" fillId="2" borderId="48" xfId="0" applyNumberFormat="1" applyFont="1" applyFill="1" applyBorder="1" applyAlignment="1">
      <alignment/>
    </xf>
    <xf numFmtId="49" fontId="41" fillId="2" borderId="1" xfId="0" applyNumberFormat="1" applyFont="1" applyFill="1" applyBorder="1" applyAlignment="1">
      <alignment/>
    </xf>
    <xf numFmtId="0" fontId="42" fillId="2" borderId="10" xfId="0" applyFont="1" applyFill="1" applyBorder="1" applyAlignment="1">
      <alignment/>
    </xf>
    <xf numFmtId="0" fontId="42" fillId="2" borderId="51" xfId="0" applyFont="1" applyFill="1" applyBorder="1" applyAlignment="1">
      <alignment/>
    </xf>
    <xf numFmtId="3" fontId="43" fillId="2" borderId="52" xfId="0" applyNumberFormat="1" applyFont="1" applyFill="1" applyBorder="1" applyAlignment="1">
      <alignment/>
    </xf>
    <xf numFmtId="4" fontId="37" fillId="2" borderId="53" xfId="0" applyNumberFormat="1" applyFont="1" applyFill="1" applyBorder="1" applyAlignment="1">
      <alignment/>
    </xf>
    <xf numFmtId="3" fontId="41" fillId="2" borderId="12" xfId="0" applyNumberFormat="1" applyFont="1" applyFill="1" applyBorder="1" applyAlignment="1">
      <alignment/>
    </xf>
    <xf numFmtId="3" fontId="38" fillId="2" borderId="26" xfId="0" applyNumberFormat="1" applyFont="1" applyFill="1" applyBorder="1" applyAlignment="1">
      <alignment/>
    </xf>
    <xf numFmtId="0" fontId="38" fillId="2" borderId="15" xfId="0" applyFont="1" applyFill="1" applyBorder="1" applyAlignment="1">
      <alignment/>
    </xf>
    <xf numFmtId="3" fontId="43" fillId="2" borderId="54" xfId="0" applyNumberFormat="1" applyFont="1" applyFill="1" applyBorder="1" applyAlignment="1">
      <alignment/>
    </xf>
    <xf numFmtId="4" fontId="37" fillId="2" borderId="3" xfId="0" applyNumberFormat="1" applyFont="1" applyFill="1" applyBorder="1" applyAlignment="1">
      <alignment/>
    </xf>
    <xf numFmtId="3" fontId="43" fillId="2" borderId="43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45" fillId="2" borderId="0" xfId="0" applyFont="1" applyFill="1" applyBorder="1" applyAlignment="1">
      <alignment/>
    </xf>
    <xf numFmtId="3" fontId="37" fillId="2" borderId="0" xfId="0" applyNumberFormat="1" applyFont="1" applyFill="1" applyBorder="1" applyAlignment="1">
      <alignment/>
    </xf>
    <xf numFmtId="3" fontId="43" fillId="2" borderId="0" xfId="0" applyNumberFormat="1" applyFont="1" applyFill="1" applyBorder="1" applyAlignment="1">
      <alignment/>
    </xf>
    <xf numFmtId="2" fontId="37" fillId="2" borderId="0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0" fontId="38" fillId="2" borderId="0" xfId="0" applyFont="1" applyFill="1" applyBorder="1" applyAlignment="1">
      <alignment/>
    </xf>
    <xf numFmtId="3" fontId="41" fillId="2" borderId="0" xfId="0" applyNumberFormat="1" applyFont="1" applyFill="1" applyAlignment="1">
      <alignment/>
    </xf>
    <xf numFmtId="16" fontId="38" fillId="2" borderId="31" xfId="0" applyNumberFormat="1" applyFont="1" applyFill="1" applyBorder="1" applyAlignment="1">
      <alignment horizontal="center"/>
    </xf>
    <xf numFmtId="0" fontId="59" fillId="2" borderId="16" xfId="0" applyFont="1" applyFill="1" applyBorder="1" applyAlignment="1">
      <alignment horizontal="left"/>
    </xf>
    <xf numFmtId="0" fontId="42" fillId="2" borderId="7" xfId="0" applyFont="1" applyFill="1" applyBorder="1" applyAlignment="1">
      <alignment/>
    </xf>
    <xf numFmtId="0" fontId="59" fillId="2" borderId="1" xfId="0" applyFont="1" applyFill="1" applyBorder="1" applyAlignment="1">
      <alignment horizontal="left"/>
    </xf>
    <xf numFmtId="3" fontId="43" fillId="2" borderId="46" xfId="0" applyNumberFormat="1" applyFont="1" applyFill="1" applyBorder="1" applyAlignment="1">
      <alignment/>
    </xf>
    <xf numFmtId="0" fontId="41" fillId="2" borderId="1" xfId="0" applyFont="1" applyFill="1" applyBorder="1" applyAlignment="1">
      <alignment horizontal="left"/>
    </xf>
    <xf numFmtId="4" fontId="37" fillId="2" borderId="55" xfId="0" applyNumberFormat="1" applyFont="1" applyFill="1" applyBorder="1" applyAlignment="1">
      <alignment/>
    </xf>
    <xf numFmtId="0" fontId="40" fillId="2" borderId="10" xfId="0" applyFont="1" applyFill="1" applyBorder="1" applyAlignment="1">
      <alignment/>
    </xf>
    <xf numFmtId="0" fontId="39" fillId="2" borderId="1" xfId="0" applyFont="1" applyFill="1" applyBorder="1" applyAlignment="1">
      <alignment horizontal="left"/>
    </xf>
    <xf numFmtId="49" fontId="41" fillId="2" borderId="1" xfId="0" applyNumberFormat="1" applyFont="1" applyFill="1" applyBorder="1" applyAlignment="1">
      <alignment horizontal="left"/>
    </xf>
    <xf numFmtId="0" fontId="39" fillId="2" borderId="1" xfId="0" applyFont="1" applyFill="1" applyBorder="1" applyAlignment="1">
      <alignment horizontal="right"/>
    </xf>
    <xf numFmtId="0" fontId="41" fillId="2" borderId="16" xfId="0" applyFont="1" applyFill="1" applyBorder="1" applyAlignment="1">
      <alignment horizontal="left"/>
    </xf>
    <xf numFmtId="0" fontId="58" fillId="2" borderId="10" xfId="0" applyFont="1" applyFill="1" applyBorder="1" applyAlignment="1">
      <alignment/>
    </xf>
    <xf numFmtId="0" fontId="37" fillId="2" borderId="49" xfId="0" applyFont="1" applyFill="1" applyBorder="1" applyAlignment="1">
      <alignment/>
    </xf>
    <xf numFmtId="3" fontId="43" fillId="2" borderId="26" xfId="0" applyNumberFormat="1" applyFont="1" applyFill="1" applyBorder="1" applyAlignment="1">
      <alignment/>
    </xf>
    <xf numFmtId="3" fontId="8" fillId="2" borderId="12" xfId="0" applyNumberFormat="1" applyFont="1" applyFill="1" applyBorder="1" applyAlignment="1">
      <alignment/>
    </xf>
    <xf numFmtId="3" fontId="43" fillId="2" borderId="20" xfId="0" applyNumberFormat="1" applyFont="1" applyFill="1" applyBorder="1" applyAlignment="1">
      <alignment/>
    </xf>
    <xf numFmtId="3" fontId="43" fillId="2" borderId="56" xfId="0" applyNumberFormat="1" applyFont="1" applyFill="1" applyBorder="1" applyAlignment="1">
      <alignment/>
    </xf>
    <xf numFmtId="4" fontId="43" fillId="2" borderId="5" xfId="0" applyNumberFormat="1" applyFont="1" applyFill="1" applyBorder="1" applyAlignment="1">
      <alignment/>
    </xf>
    <xf numFmtId="3" fontId="43" fillId="2" borderId="5" xfId="0" applyNumberFormat="1" applyFont="1" applyFill="1" applyBorder="1" applyAlignment="1">
      <alignment/>
    </xf>
    <xf numFmtId="3" fontId="43" fillId="2" borderId="57" xfId="0" applyNumberFormat="1" applyFont="1" applyFill="1" applyBorder="1" applyAlignment="1">
      <alignment/>
    </xf>
    <xf numFmtId="3" fontId="42" fillId="2" borderId="5" xfId="0" applyNumberFormat="1" applyFont="1" applyFill="1" applyBorder="1" applyAlignment="1">
      <alignment/>
    </xf>
    <xf numFmtId="9" fontId="37" fillId="2" borderId="0" xfId="0" applyNumberFormat="1" applyFont="1" applyFill="1" applyBorder="1" applyAlignment="1">
      <alignment/>
    </xf>
    <xf numFmtId="0" fontId="37" fillId="2" borderId="0" xfId="0" applyFont="1" applyFill="1" applyBorder="1" applyAlignment="1">
      <alignment/>
    </xf>
    <xf numFmtId="3" fontId="38" fillId="2" borderId="0" xfId="0" applyNumberFormat="1" applyFont="1" applyFill="1" applyBorder="1" applyAlignment="1">
      <alignment/>
    </xf>
    <xf numFmtId="3" fontId="42" fillId="2" borderId="0" xfId="0" applyNumberFormat="1" applyFont="1" applyFill="1" applyBorder="1" applyAlignment="1">
      <alignment/>
    </xf>
    <xf numFmtId="168" fontId="37" fillId="2" borderId="0" xfId="0" applyNumberFormat="1" applyFont="1" applyFill="1" applyBorder="1" applyAlignment="1">
      <alignment/>
    </xf>
    <xf numFmtId="0" fontId="43" fillId="2" borderId="0" xfId="0" applyFont="1" applyFill="1" applyAlignment="1">
      <alignment/>
    </xf>
    <xf numFmtId="0" fontId="47" fillId="2" borderId="0" xfId="0" applyFont="1" applyFill="1" applyAlignment="1">
      <alignment/>
    </xf>
    <xf numFmtId="0" fontId="8" fillId="2" borderId="0" xfId="0" applyFont="1" applyFill="1" applyBorder="1" applyAlignment="1">
      <alignment horizontal="left"/>
    </xf>
    <xf numFmtId="0" fontId="43" fillId="2" borderId="58" xfId="0" applyFont="1" applyFill="1" applyBorder="1" applyAlignment="1">
      <alignment/>
    </xf>
    <xf numFmtId="0" fontId="43" fillId="2" borderId="15" xfId="0" applyFont="1" applyFill="1" applyBorder="1" applyAlignment="1">
      <alignment/>
    </xf>
    <xf numFmtId="0" fontId="59" fillId="2" borderId="42" xfId="0" applyFont="1" applyFill="1" applyBorder="1" applyAlignment="1">
      <alignment horizontal="left"/>
    </xf>
    <xf numFmtId="0" fontId="54" fillId="2" borderId="58" xfId="0" applyFont="1" applyFill="1" applyBorder="1" applyAlignment="1">
      <alignment textRotation="50"/>
    </xf>
    <xf numFmtId="0" fontId="51" fillId="2" borderId="19" xfId="0" applyFont="1" applyFill="1" applyBorder="1" applyAlignment="1">
      <alignment textRotation="90" wrapText="1"/>
    </xf>
    <xf numFmtId="0" fontId="51" fillId="2" borderId="56" xfId="0" applyFont="1" applyFill="1" applyBorder="1" applyAlignment="1">
      <alignment textRotation="90" wrapText="1"/>
    </xf>
    <xf numFmtId="0" fontId="52" fillId="2" borderId="20" xfId="0" applyFont="1" applyFill="1" applyBorder="1" applyAlignment="1">
      <alignment textRotation="90" wrapText="1"/>
    </xf>
    <xf numFmtId="0" fontId="52" fillId="2" borderId="59" xfId="0" applyFont="1" applyFill="1" applyBorder="1" applyAlignment="1">
      <alignment textRotation="90" wrapText="1"/>
    </xf>
    <xf numFmtId="0" fontId="8" fillId="2" borderId="1" xfId="0" applyFont="1" applyFill="1" applyBorder="1" applyAlignment="1">
      <alignment/>
    </xf>
    <xf numFmtId="0" fontId="8" fillId="2" borderId="16" xfId="0" applyFont="1" applyFill="1" applyBorder="1" applyAlignment="1">
      <alignment/>
    </xf>
    <xf numFmtId="0" fontId="8" fillId="2" borderId="41" xfId="0" applyFont="1" applyFill="1" applyBorder="1" applyAlignment="1">
      <alignment/>
    </xf>
    <xf numFmtId="0" fontId="8" fillId="2" borderId="42" xfId="0" applyFont="1" applyFill="1" applyBorder="1" applyAlignment="1">
      <alignment/>
    </xf>
    <xf numFmtId="3" fontId="9" fillId="2" borderId="0" xfId="0" applyNumberFormat="1" applyFont="1" applyFill="1" applyBorder="1" applyAlignment="1">
      <alignment/>
    </xf>
    <xf numFmtId="3" fontId="57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60" xfId="0" applyFont="1" applyFill="1" applyBorder="1" applyAlignment="1">
      <alignment/>
    </xf>
    <xf numFmtId="0" fontId="0" fillId="2" borderId="61" xfId="0" applyFill="1" applyBorder="1" applyAlignment="1">
      <alignment/>
    </xf>
    <xf numFmtId="0" fontId="54" fillId="2" borderId="55" xfId="0" applyFont="1" applyFill="1" applyBorder="1" applyAlignment="1">
      <alignment/>
    </xf>
    <xf numFmtId="0" fontId="54" fillId="2" borderId="49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8" fillId="2" borderId="37" xfId="0" applyFont="1" applyFill="1" applyBorder="1" applyAlignment="1">
      <alignment/>
    </xf>
    <xf numFmtId="3" fontId="7" fillId="2" borderId="44" xfId="0" applyNumberFormat="1" applyFont="1" applyFill="1" applyBorder="1" applyAlignment="1">
      <alignment/>
    </xf>
    <xf numFmtId="3" fontId="7" fillId="2" borderId="38" xfId="0" applyNumberFormat="1" applyFont="1" applyFill="1" applyBorder="1" applyAlignment="1">
      <alignment/>
    </xf>
    <xf numFmtId="3" fontId="9" fillId="2" borderId="47" xfId="0" applyNumberFormat="1" applyFont="1" applyFill="1" applyBorder="1" applyAlignment="1">
      <alignment/>
    </xf>
    <xf numFmtId="0" fontId="0" fillId="2" borderId="62" xfId="0" applyFill="1" applyBorder="1" applyAlignment="1">
      <alignment/>
    </xf>
    <xf numFmtId="0" fontId="51" fillId="2" borderId="20" xfId="0" applyFont="1" applyFill="1" applyBorder="1" applyAlignment="1">
      <alignment textRotation="90" wrapText="1"/>
    </xf>
    <xf numFmtId="0" fontId="66" fillId="2" borderId="0" xfId="0" applyFont="1" applyFill="1" applyAlignment="1">
      <alignment/>
    </xf>
    <xf numFmtId="3" fontId="60" fillId="2" borderId="12" xfId="0" applyNumberFormat="1" applyFont="1" applyFill="1" applyBorder="1" applyAlignment="1">
      <alignment/>
    </xf>
    <xf numFmtId="0" fontId="67" fillId="2" borderId="0" xfId="0" applyFont="1" applyFill="1" applyAlignment="1">
      <alignment/>
    </xf>
    <xf numFmtId="0" fontId="68" fillId="2" borderId="0" xfId="0" applyFont="1" applyFill="1" applyAlignment="1">
      <alignment/>
    </xf>
    <xf numFmtId="0" fontId="69" fillId="2" borderId="0" xfId="0" applyFont="1" applyFill="1" applyAlignment="1">
      <alignment/>
    </xf>
    <xf numFmtId="3" fontId="7" fillId="2" borderId="40" xfId="0" applyNumberFormat="1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24" xfId="0" applyFont="1" applyFill="1" applyBorder="1" applyAlignment="1">
      <alignment/>
    </xf>
    <xf numFmtId="0" fontId="2" fillId="2" borderId="30" xfId="0" applyFont="1" applyFill="1" applyBorder="1" applyAlignment="1">
      <alignment/>
    </xf>
    <xf numFmtId="3" fontId="7" fillId="2" borderId="7" xfId="0" applyNumberFormat="1" applyFont="1" applyFill="1" applyBorder="1" applyAlignment="1">
      <alignment/>
    </xf>
    <xf numFmtId="3" fontId="7" fillId="2" borderId="10" xfId="0" applyNumberFormat="1" applyFont="1" applyFill="1" applyBorder="1" applyAlignment="1">
      <alignment/>
    </xf>
    <xf numFmtId="3" fontId="56" fillId="2" borderId="10" xfId="0" applyNumberFormat="1" applyFont="1" applyFill="1" applyBorder="1" applyAlignment="1">
      <alignment/>
    </xf>
    <xf numFmtId="3" fontId="7" fillId="2" borderId="31" xfId="0" applyNumberFormat="1" applyFont="1" applyFill="1" applyBorder="1" applyAlignment="1">
      <alignment/>
    </xf>
    <xf numFmtId="0" fontId="52" fillId="2" borderId="58" xfId="0" applyFont="1" applyFill="1" applyBorder="1" applyAlignment="1">
      <alignment textRotation="90" wrapText="1"/>
    </xf>
    <xf numFmtId="0" fontId="8" fillId="2" borderId="17" xfId="0" applyFont="1" applyFill="1" applyBorder="1" applyAlignment="1">
      <alignment/>
    </xf>
    <xf numFmtId="0" fontId="8" fillId="2" borderId="44" xfId="0" applyFont="1" applyFill="1" applyBorder="1" applyAlignment="1">
      <alignment/>
    </xf>
    <xf numFmtId="0" fontId="8" fillId="2" borderId="38" xfId="0" applyFont="1" applyFill="1" applyBorder="1" applyAlignment="1">
      <alignment/>
    </xf>
    <xf numFmtId="0" fontId="8" fillId="2" borderId="40" xfId="0" applyFont="1" applyFill="1" applyBorder="1" applyAlignment="1">
      <alignment/>
    </xf>
    <xf numFmtId="0" fontId="70" fillId="2" borderId="61" xfId="0" applyFont="1" applyFill="1" applyBorder="1" applyAlignment="1">
      <alignment/>
    </xf>
    <xf numFmtId="0" fontId="71" fillId="2" borderId="61" xfId="0" applyFont="1" applyFill="1" applyBorder="1" applyAlignment="1">
      <alignment/>
    </xf>
    <xf numFmtId="4" fontId="72" fillId="2" borderId="61" xfId="0" applyNumberFormat="1" applyFont="1" applyFill="1" applyBorder="1" applyAlignment="1">
      <alignment/>
    </xf>
    <xf numFmtId="4" fontId="72" fillId="2" borderId="63" xfId="0" applyNumberFormat="1" applyFont="1" applyFill="1" applyBorder="1" applyAlignment="1">
      <alignment/>
    </xf>
    <xf numFmtId="0" fontId="54" fillId="2" borderId="13" xfId="0" applyFont="1" applyFill="1" applyBorder="1" applyAlignment="1">
      <alignment/>
    </xf>
    <xf numFmtId="0" fontId="10" fillId="2" borderId="22" xfId="0" applyFont="1" applyFill="1" applyBorder="1" applyAlignment="1">
      <alignment/>
    </xf>
    <xf numFmtId="0" fontId="55" fillId="2" borderId="52" xfId="0" applyFont="1" applyFill="1" applyBorder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příjmynákladystřed2001+VH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Struktura příjmů Diakonie ČCCE v r. 2002</a:t>
            </a:r>
          </a:p>
        </c:rich>
      </c:tx>
      <c:layout>
        <c:manualLayout>
          <c:xMode val="factor"/>
          <c:yMode val="factor"/>
          <c:x val="-0.115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25"/>
          <c:y val="0.19675"/>
          <c:w val="0.46375"/>
          <c:h val="0.73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9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/>
                      <a:t>dotace MPSV
36%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/>
                      <a:t>zdr. poj.
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/>
                      <a:t> MŠMT
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zahr+sponzoři
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/>
                      <a:t>ÚP
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/>
                      <a:t>samospráva
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/>
                      <a:t>z hl. činn.
27%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/>
                      <a:t>z vedl. činn.
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/>
                      <a:t>ostatní
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z ostatních činn.
17%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'[1]koneč. příjmy'!$A$11:$B$19</c:f>
              <c:multiLvlStrCache>
                <c:ptCount val="9"/>
                <c:lvl>
                  <c:pt idx="0">
                    <c:v>dotace MPSV</c:v>
                  </c:pt>
                  <c:pt idx="1">
                    <c:v>zdrav. pojisťovny</c:v>
                  </c:pt>
                  <c:pt idx="2">
                    <c:v>MŠMT</c:v>
                  </c:pt>
                  <c:pt idx="3">
                    <c:v>zahr. př. a sponzoři</c:v>
                  </c:pt>
                  <c:pt idx="4">
                    <c:v>úřad práce</c:v>
                  </c:pt>
                  <c:pt idx="5">
                    <c:v>samospráva</c:v>
                  </c:pt>
                  <c:pt idx="6">
                    <c:v>z hlavní činnosti</c:v>
                  </c:pt>
                  <c:pt idx="7">
                    <c:v>z vedl. činnosti</c:v>
                  </c:pt>
                  <c:pt idx="8">
                    <c:v>z ostatních činn.</c:v>
                  </c:pt>
                </c:lvl>
                <c:lvl>
                  <c:pt idx="0">
                    <c:v>77801</c:v>
                  </c:pt>
                  <c:pt idx="1">
                    <c:v>7458</c:v>
                  </c:pt>
                  <c:pt idx="2">
                    <c:v>18105</c:v>
                  </c:pt>
                  <c:pt idx="3">
                    <c:v>10113</c:v>
                  </c:pt>
                  <c:pt idx="4">
                    <c:v>4930</c:v>
                  </c:pt>
                  <c:pt idx="5">
                    <c:v>11310</c:v>
                  </c:pt>
                  <c:pt idx="6">
                    <c:v>57541</c:v>
                  </c:pt>
                  <c:pt idx="7">
                    <c:v>11415</c:v>
                  </c:pt>
                  <c:pt idx="8">
                    <c:v>15270</c:v>
                  </c:pt>
                </c:lvl>
              </c:multiLvlStrCache>
            </c:multiLvlStrRef>
          </c:cat>
          <c:val>
            <c:numRef>
              <c:f>'[1]koneč. příjmy'!$C$11:$C$19</c:f>
              <c:numCache>
                <c:ptCount val="9"/>
                <c:pt idx="0">
                  <c:v>36.3652935594995</c:v>
                </c:pt>
                <c:pt idx="1">
                  <c:v>3.485975236394741</c:v>
                </c:pt>
                <c:pt idx="2">
                  <c:v>8.462534413371786</c:v>
                </c:pt>
                <c:pt idx="3">
                  <c:v>4.726959984668814</c:v>
                </c:pt>
                <c:pt idx="4">
                  <c:v>2.3043520937819886</c:v>
                </c:pt>
                <c:pt idx="5">
                  <c:v>5.28645480338221</c:v>
                </c:pt>
                <c:pt idx="6">
                  <c:v>26.895481506756475</c:v>
                </c:pt>
                <c:pt idx="7">
                  <c:v>5.335533296251806</c:v>
                </c:pt>
                <c:pt idx="8">
                  <c:v>7.137415105892692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"/>
          <c:y val="0"/>
          <c:w val="0.21575"/>
          <c:h val="0.984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4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/>
              <a:t>Struktura nákladů Diakonie ČCCE v r. 2002</a:t>
            </a:r>
          </a:p>
        </c:rich>
      </c:tx>
      <c:layout>
        <c:manualLayout>
          <c:xMode val="factor"/>
          <c:yMode val="factor"/>
          <c:x val="-0.115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95"/>
          <c:y val="0.181"/>
          <c:w val="0.511"/>
          <c:h val="0.74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9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mater. náklady
15%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mzdy
41%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 SZ + ZP
14%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DPP+DPČ
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/>
                      <a:t>energie
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/>
                      <a:t>opravy a 
údržba
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/>
                      <a:t>služby
11%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/>
                      <a:t>odpisy
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/>
                      <a:t>ostatní
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z ostatních činn.
17%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'[1]koneč. výdajegraf'!$A$11:$B$19</c:f>
              <c:multiLvlStrCache>
                <c:ptCount val="9"/>
                <c:lvl>
                  <c:pt idx="0">
                    <c:v>materiálové nákl.</c:v>
                  </c:pt>
                  <c:pt idx="1">
                    <c:v>mzdy</c:v>
                  </c:pt>
                  <c:pt idx="2">
                    <c:v>SZ + ZP</c:v>
                  </c:pt>
                  <c:pt idx="3">
                    <c:v>DPP + DPČ</c:v>
                  </c:pt>
                  <c:pt idx="4">
                    <c:v>energie</c:v>
                  </c:pt>
                  <c:pt idx="5">
                    <c:v>opravy a údržba</c:v>
                  </c:pt>
                  <c:pt idx="6">
                    <c:v>služby</c:v>
                  </c:pt>
                  <c:pt idx="7">
                    <c:v>odpisy</c:v>
                  </c:pt>
                  <c:pt idx="8">
                    <c:v>ostatní</c:v>
                  </c:pt>
                </c:lvl>
                <c:lvl>
                  <c:pt idx="0">
                    <c:v>34 519</c:v>
                  </c:pt>
                  <c:pt idx="1">
                    <c:v>91 339</c:v>
                  </c:pt>
                  <c:pt idx="2">
                    <c:v>31 771</c:v>
                  </c:pt>
                  <c:pt idx="3">
                    <c:v>2 170</c:v>
                  </c:pt>
                  <c:pt idx="4">
                    <c:v>10 296</c:v>
                  </c:pt>
                  <c:pt idx="5">
                    <c:v>11 249</c:v>
                  </c:pt>
                  <c:pt idx="6">
                    <c:v>25 705</c:v>
                  </c:pt>
                  <c:pt idx="7">
                    <c:v>7 893</c:v>
                  </c:pt>
                  <c:pt idx="8">
                    <c:v>9 208</c:v>
                  </c:pt>
                </c:lvl>
              </c:multiLvlStrCache>
            </c:multiLvlStrRef>
          </c:cat>
          <c:val>
            <c:numRef>
              <c:f>'[1]koneč. výdajegraf'!$C$11:$C$19</c:f>
              <c:numCache>
                <c:ptCount val="9"/>
                <c:pt idx="0">
                  <c:v>15.399955387017622</c:v>
                </c:pt>
                <c:pt idx="1">
                  <c:v>40.74905197412447</c:v>
                </c:pt>
                <c:pt idx="2">
                  <c:v>14.1739906312737</c:v>
                </c:pt>
                <c:pt idx="3">
                  <c:v>0.9681017175998217</c:v>
                </c:pt>
                <c:pt idx="4">
                  <c:v>4.593352665625697</c:v>
                </c:pt>
                <c:pt idx="5">
                  <c:v>5.018514387686817</c:v>
                </c:pt>
                <c:pt idx="6">
                  <c:v>11.467767120231988</c:v>
                </c:pt>
                <c:pt idx="7">
                  <c:v>3.521302699085434</c:v>
                </c:pt>
                <c:pt idx="8">
                  <c:v>4.10796341735445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"/>
          <c:y val="0.1045"/>
          <c:w val="0.21425"/>
          <c:h val="0.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4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Struktura příjmů Diakonie ČCCE v r. 2002</a:t>
            </a:r>
          </a:p>
        </c:rich>
      </c:tx>
      <c:layout>
        <c:manualLayout>
          <c:xMode val="factor"/>
          <c:yMode val="factor"/>
          <c:x val="-0.115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25"/>
          <c:y val="0.19725"/>
          <c:w val="0.4445"/>
          <c:h val="0.73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9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dotace MPSV
36%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zdr. poj.
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 MŠMT
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zahr+sponzoři
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ÚP
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samospráva
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z hl. činn.
27%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z vedl. činn.
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ostatní
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z ostatních činn.
17%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'[1]koneč. příjmy'!$A$11:$B$19</c:f>
              <c:multiLvlStrCache>
                <c:ptCount val="9"/>
                <c:lvl>
                  <c:pt idx="0">
                    <c:v>dotace MPSV</c:v>
                  </c:pt>
                  <c:pt idx="1">
                    <c:v>zdrav. pojisťovny</c:v>
                  </c:pt>
                  <c:pt idx="2">
                    <c:v>MŠMT</c:v>
                  </c:pt>
                  <c:pt idx="3">
                    <c:v>zahr. př. a sponzoři</c:v>
                  </c:pt>
                  <c:pt idx="4">
                    <c:v>úřad práce</c:v>
                  </c:pt>
                  <c:pt idx="5">
                    <c:v>samospráva</c:v>
                  </c:pt>
                  <c:pt idx="6">
                    <c:v>z hlavní činnosti</c:v>
                  </c:pt>
                  <c:pt idx="7">
                    <c:v>z vedl. činnosti</c:v>
                  </c:pt>
                  <c:pt idx="8">
                    <c:v>z ostatních činn.</c:v>
                  </c:pt>
                </c:lvl>
                <c:lvl>
                  <c:pt idx="0">
                    <c:v>77801</c:v>
                  </c:pt>
                  <c:pt idx="1">
                    <c:v>7458</c:v>
                  </c:pt>
                  <c:pt idx="2">
                    <c:v>18105</c:v>
                  </c:pt>
                  <c:pt idx="3">
                    <c:v>10113</c:v>
                  </c:pt>
                  <c:pt idx="4">
                    <c:v>4930</c:v>
                  </c:pt>
                  <c:pt idx="5">
                    <c:v>11310</c:v>
                  </c:pt>
                  <c:pt idx="6">
                    <c:v>57541</c:v>
                  </c:pt>
                  <c:pt idx="7">
                    <c:v>11415</c:v>
                  </c:pt>
                  <c:pt idx="8">
                    <c:v>15270</c:v>
                  </c:pt>
                </c:lvl>
              </c:multiLvlStrCache>
            </c:multiLvlStrRef>
          </c:cat>
          <c:val>
            <c:numRef>
              <c:f>'[1]koneč. příjmy'!$C$11:$C$19</c:f>
              <c:numCache>
                <c:ptCount val="9"/>
                <c:pt idx="0">
                  <c:v>36.3652935594995</c:v>
                </c:pt>
                <c:pt idx="1">
                  <c:v>3.485975236394741</c:v>
                </c:pt>
                <c:pt idx="2">
                  <c:v>8.462534413371786</c:v>
                </c:pt>
                <c:pt idx="3">
                  <c:v>4.726959984668814</c:v>
                </c:pt>
                <c:pt idx="4">
                  <c:v>2.3043520937819886</c:v>
                </c:pt>
                <c:pt idx="5">
                  <c:v>5.28645480338221</c:v>
                </c:pt>
                <c:pt idx="6">
                  <c:v>26.895481506756475</c:v>
                </c:pt>
                <c:pt idx="7">
                  <c:v>5.335533296251806</c:v>
                </c:pt>
                <c:pt idx="8">
                  <c:v>7.137415105892692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08275"/>
          <c:w val="0.21775"/>
          <c:h val="0.8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114300</xdr:rowOff>
    </xdr:from>
    <xdr:to>
      <xdr:col>7</xdr:col>
      <xdr:colOff>438150</xdr:colOff>
      <xdr:row>45</xdr:row>
      <xdr:rowOff>85725</xdr:rowOff>
    </xdr:to>
    <xdr:graphicFrame>
      <xdr:nvGraphicFramePr>
        <xdr:cNvPr id="1" name="Chart 1"/>
        <xdr:cNvGraphicFramePr/>
      </xdr:nvGraphicFramePr>
      <xdr:xfrm>
        <a:off x="9525" y="4152900"/>
        <a:ext cx="70294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33</xdr:row>
      <xdr:rowOff>142875</xdr:rowOff>
    </xdr:from>
    <xdr:to>
      <xdr:col>13</xdr:col>
      <xdr:colOff>552450</xdr:colOff>
      <xdr:row>56</xdr:row>
      <xdr:rowOff>180975</xdr:rowOff>
    </xdr:to>
    <xdr:graphicFrame>
      <xdr:nvGraphicFramePr>
        <xdr:cNvPr id="1" name="Chart 1"/>
        <xdr:cNvGraphicFramePr/>
      </xdr:nvGraphicFramePr>
      <xdr:xfrm>
        <a:off x="3524250" y="6610350"/>
        <a:ext cx="70770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304800</xdr:colOff>
      <xdr:row>2</xdr:row>
      <xdr:rowOff>152400</xdr:rowOff>
    </xdr:from>
    <xdr:to>
      <xdr:col>13</xdr:col>
      <xdr:colOff>552450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3638550" y="666750"/>
        <a:ext cx="69627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nclova\Local%20Settings\Temporary%20Internet%20Files\OLK13A\prijmynakladaKol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eč. příjmy"/>
      <sheetName val="koneč. výdajegraf"/>
    </sheetNames>
    <sheetDataSet>
      <sheetData sheetId="0">
        <row r="11">
          <cell r="A11">
            <v>77801</v>
          </cell>
          <cell r="B11" t="str">
            <v>dotace MPSV</v>
          </cell>
          <cell r="C11">
            <v>36.3652935594995</v>
          </cell>
        </row>
        <row r="12">
          <cell r="A12">
            <v>7458</v>
          </cell>
          <cell r="B12" t="str">
            <v>zdrav. pojisťovny</v>
          </cell>
          <cell r="C12">
            <v>3.485975236394741</v>
          </cell>
        </row>
        <row r="13">
          <cell r="A13">
            <v>18105</v>
          </cell>
          <cell r="B13" t="str">
            <v>MŠMT</v>
          </cell>
          <cell r="C13">
            <v>8.462534413371786</v>
          </cell>
        </row>
        <row r="14">
          <cell r="A14">
            <v>10113</v>
          </cell>
          <cell r="B14" t="str">
            <v>zahr. př. a sponzoři</v>
          </cell>
          <cell r="C14">
            <v>4.726959984668814</v>
          </cell>
        </row>
        <row r="15">
          <cell r="A15">
            <v>4930</v>
          </cell>
          <cell r="B15" t="str">
            <v>úřad práce</v>
          </cell>
          <cell r="C15">
            <v>2.3043520937819886</v>
          </cell>
        </row>
        <row r="16">
          <cell r="A16">
            <v>11310</v>
          </cell>
          <cell r="B16" t="str">
            <v>samospráva</v>
          </cell>
          <cell r="C16">
            <v>5.28645480338221</v>
          </cell>
        </row>
        <row r="17">
          <cell r="A17">
            <v>57541</v>
          </cell>
          <cell r="B17" t="str">
            <v>z hlavní činnosti</v>
          </cell>
          <cell r="C17">
            <v>26.895481506756475</v>
          </cell>
        </row>
        <row r="18">
          <cell r="A18">
            <v>11415</v>
          </cell>
          <cell r="B18" t="str">
            <v>z vedl. činnosti</v>
          </cell>
          <cell r="C18">
            <v>5.335533296251806</v>
          </cell>
        </row>
        <row r="19">
          <cell r="A19">
            <v>15270</v>
          </cell>
          <cell r="B19" t="str">
            <v>z ostatních činn.</v>
          </cell>
          <cell r="C19">
            <v>7.137415105892692</v>
          </cell>
        </row>
      </sheetData>
      <sheetData sheetId="1">
        <row r="11">
          <cell r="A11">
            <v>34519</v>
          </cell>
          <cell r="B11" t="str">
            <v>materiálové nákl.</v>
          </cell>
          <cell r="C11">
            <v>15.399955387017622</v>
          </cell>
        </row>
        <row r="12">
          <cell r="A12">
            <v>91339</v>
          </cell>
          <cell r="B12" t="str">
            <v>mzdy</v>
          </cell>
          <cell r="C12">
            <v>40.74905197412447</v>
          </cell>
        </row>
        <row r="13">
          <cell r="A13">
            <v>31771</v>
          </cell>
          <cell r="B13" t="str">
            <v>SZ + ZP</v>
          </cell>
          <cell r="C13">
            <v>14.1739906312737</v>
          </cell>
        </row>
        <row r="14">
          <cell r="A14">
            <v>2170</v>
          </cell>
          <cell r="B14" t="str">
            <v>DPP + DPČ</v>
          </cell>
          <cell r="C14">
            <v>0.9681017175998217</v>
          </cell>
        </row>
        <row r="15">
          <cell r="A15">
            <v>10296</v>
          </cell>
          <cell r="B15" t="str">
            <v>energie</v>
          </cell>
          <cell r="C15">
            <v>4.593352665625697</v>
          </cell>
        </row>
        <row r="16">
          <cell r="A16">
            <v>11249</v>
          </cell>
          <cell r="B16" t="str">
            <v>opravy a údržba</v>
          </cell>
          <cell r="C16">
            <v>5.018514387686817</v>
          </cell>
        </row>
        <row r="17">
          <cell r="A17">
            <v>25705</v>
          </cell>
          <cell r="B17" t="str">
            <v>služby</v>
          </cell>
          <cell r="C17">
            <v>11.467767120231988</v>
          </cell>
        </row>
        <row r="18">
          <cell r="A18">
            <v>7893</v>
          </cell>
          <cell r="B18" t="str">
            <v>odpisy</v>
          </cell>
          <cell r="C18">
            <v>3.521302699085434</v>
          </cell>
        </row>
        <row r="19">
          <cell r="A19">
            <v>9208</v>
          </cell>
          <cell r="B19" t="str">
            <v>ostatní</v>
          </cell>
          <cell r="C19">
            <v>4.10796341735445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zoomScale="75" zoomScaleNormal="75" workbookViewId="0" topLeftCell="C4">
      <selection activeCell="B40" sqref="B40"/>
    </sheetView>
  </sheetViews>
  <sheetFormatPr defaultColWidth="9.140625" defaultRowHeight="12.75"/>
  <cols>
    <col min="1" max="1" width="10.57421875" style="1" customWidth="1"/>
    <col min="2" max="2" width="12.57421875" style="1" customWidth="1"/>
    <col min="3" max="3" width="7.421875" style="1" customWidth="1"/>
    <col min="4" max="4" width="10.57421875" style="1" customWidth="1"/>
    <col min="5" max="5" width="10.28125" style="1" customWidth="1"/>
    <col min="6" max="6" width="11.140625" style="1" customWidth="1"/>
    <col min="7" max="7" width="10.57421875" style="1" customWidth="1"/>
    <col min="8" max="9" width="8.8515625" style="1" customWidth="1"/>
    <col min="10" max="10" width="12.140625" style="1" customWidth="1"/>
    <col min="11" max="11" width="11.00390625" style="1" customWidth="1"/>
    <col min="12" max="12" width="8.8515625" style="1" customWidth="1"/>
    <col min="13" max="13" width="8.28125" style="1" customWidth="1"/>
    <col min="14" max="14" width="10.57421875" style="1" customWidth="1"/>
    <col min="15" max="15" width="11.00390625" style="1" customWidth="1"/>
    <col min="16" max="16" width="12.57421875" style="1" customWidth="1"/>
    <col min="17" max="16384" width="9.140625" style="1" customWidth="1"/>
  </cols>
  <sheetData>
    <row r="1" spans="2:16" ht="18">
      <c r="B1" s="28" t="s">
        <v>339</v>
      </c>
      <c r="P1" s="4" t="s">
        <v>340</v>
      </c>
    </row>
    <row r="2" ht="13.5" thickBot="1"/>
    <row r="3" spans="1:16" ht="13.5" thickBot="1">
      <c r="A3" s="64"/>
      <c r="B3" s="65" t="s">
        <v>104</v>
      </c>
      <c r="C3" s="66" t="s">
        <v>104</v>
      </c>
      <c r="D3" s="67" t="s">
        <v>105</v>
      </c>
      <c r="E3" s="68" t="s">
        <v>92</v>
      </c>
      <c r="F3" s="69" t="s">
        <v>106</v>
      </c>
      <c r="G3" s="70" t="s">
        <v>107</v>
      </c>
      <c r="H3" s="68" t="s">
        <v>108</v>
      </c>
      <c r="I3" s="68" t="s">
        <v>109</v>
      </c>
      <c r="J3" s="68" t="s">
        <v>110</v>
      </c>
      <c r="K3" s="68" t="s">
        <v>111</v>
      </c>
      <c r="L3" s="65" t="s">
        <v>112</v>
      </c>
      <c r="M3" s="71" t="s">
        <v>93</v>
      </c>
      <c r="N3" s="68" t="s">
        <v>113</v>
      </c>
      <c r="O3" s="69" t="s">
        <v>114</v>
      </c>
      <c r="P3" s="72" t="s">
        <v>115</v>
      </c>
    </row>
    <row r="4" spans="1:16" ht="13.5" thickBot="1">
      <c r="A4" s="73" t="s">
        <v>116</v>
      </c>
      <c r="B4" s="74" t="s">
        <v>117</v>
      </c>
      <c r="C4" s="75" t="s">
        <v>328</v>
      </c>
      <c r="D4" s="75" t="s">
        <v>118</v>
      </c>
      <c r="E4" s="75"/>
      <c r="F4" s="76" t="s">
        <v>119</v>
      </c>
      <c r="G4" s="77" t="s">
        <v>120</v>
      </c>
      <c r="H4" s="78" t="s">
        <v>121</v>
      </c>
      <c r="I4" s="75" t="s">
        <v>122</v>
      </c>
      <c r="J4" s="75" t="s">
        <v>123</v>
      </c>
      <c r="K4" s="75" t="s">
        <v>123</v>
      </c>
      <c r="L4" s="74" t="s">
        <v>124</v>
      </c>
      <c r="M4" s="75"/>
      <c r="N4" s="75" t="s">
        <v>125</v>
      </c>
      <c r="O4" s="76" t="s">
        <v>126</v>
      </c>
      <c r="P4" s="79"/>
    </row>
    <row r="5" spans="1:16" ht="12.75">
      <c r="A5" s="80" t="s">
        <v>20</v>
      </c>
      <c r="B5" s="81">
        <v>579000</v>
      </c>
      <c r="C5" s="82"/>
      <c r="D5" s="82"/>
      <c r="E5" s="82"/>
      <c r="F5" s="82"/>
      <c r="G5" s="82">
        <v>467000</v>
      </c>
      <c r="H5" s="82">
        <v>200000</v>
      </c>
      <c r="I5" s="82">
        <v>29989</v>
      </c>
      <c r="J5" s="82">
        <v>283598</v>
      </c>
      <c r="K5" s="82">
        <v>75124</v>
      </c>
      <c r="L5" s="82">
        <v>22700</v>
      </c>
      <c r="M5" s="82">
        <v>25124</v>
      </c>
      <c r="N5" s="82">
        <v>112407</v>
      </c>
      <c r="O5" s="83">
        <v>18764</v>
      </c>
      <c r="P5" s="84">
        <f>SUM(B5:O5)</f>
        <v>1813706</v>
      </c>
    </row>
    <row r="6" spans="1:16" ht="12.75">
      <c r="A6" s="40" t="s">
        <v>21</v>
      </c>
      <c r="B6" s="44">
        <v>2566760</v>
      </c>
      <c r="C6" s="45">
        <v>45000</v>
      </c>
      <c r="D6" s="45"/>
      <c r="E6" s="45">
        <v>2908000</v>
      </c>
      <c r="F6" s="45">
        <v>-2712</v>
      </c>
      <c r="G6" s="45"/>
      <c r="H6" s="45"/>
      <c r="I6" s="45"/>
      <c r="J6" s="45">
        <v>795469</v>
      </c>
      <c r="K6" s="45">
        <v>182591</v>
      </c>
      <c r="L6" s="45">
        <v>61870</v>
      </c>
      <c r="M6" s="45"/>
      <c r="N6" s="45">
        <v>482461</v>
      </c>
      <c r="O6" s="85">
        <v>49357</v>
      </c>
      <c r="P6" s="86">
        <f aca="true" t="shared" si="0" ref="P6:P34">SUM(B6:O6)</f>
        <v>7088796</v>
      </c>
    </row>
    <row r="7" spans="1:16" ht="12.75">
      <c r="A7" s="40" t="s">
        <v>127</v>
      </c>
      <c r="B7" s="44">
        <v>3086387</v>
      </c>
      <c r="C7" s="45"/>
      <c r="D7" s="45"/>
      <c r="E7" s="45"/>
      <c r="F7" s="45"/>
      <c r="G7" s="45">
        <v>837200</v>
      </c>
      <c r="H7" s="45"/>
      <c r="I7" s="45"/>
      <c r="J7" s="45">
        <v>3045852</v>
      </c>
      <c r="K7" s="45">
        <v>186808</v>
      </c>
      <c r="L7" s="45">
        <v>3068</v>
      </c>
      <c r="M7" s="45"/>
      <c r="N7" s="45">
        <v>143365</v>
      </c>
      <c r="O7" s="85">
        <v>126350</v>
      </c>
      <c r="P7" s="86">
        <f t="shared" si="0"/>
        <v>7429030</v>
      </c>
    </row>
    <row r="8" spans="1:16" ht="12.75">
      <c r="A8" s="40" t="s">
        <v>23</v>
      </c>
      <c r="B8" s="44">
        <v>892100</v>
      </c>
      <c r="C8" s="45"/>
      <c r="D8" s="45"/>
      <c r="E8" s="45"/>
      <c r="F8" s="45"/>
      <c r="G8" s="45">
        <v>74477</v>
      </c>
      <c r="H8" s="45">
        <v>25000</v>
      </c>
      <c r="I8" s="45">
        <v>342500</v>
      </c>
      <c r="J8" s="45"/>
      <c r="K8" s="45">
        <v>11935</v>
      </c>
      <c r="L8" s="45">
        <v>1000</v>
      </c>
      <c r="M8" s="45">
        <v>3085</v>
      </c>
      <c r="N8" s="45">
        <v>14484</v>
      </c>
      <c r="O8" s="85">
        <v>14239</v>
      </c>
      <c r="P8" s="86">
        <f t="shared" si="0"/>
        <v>1378820</v>
      </c>
    </row>
    <row r="9" spans="1:16" ht="12.75">
      <c r="A9" s="40" t="s">
        <v>24</v>
      </c>
      <c r="B9" s="44">
        <v>1336200</v>
      </c>
      <c r="C9" s="45"/>
      <c r="D9" s="45"/>
      <c r="E9" s="45"/>
      <c r="F9" s="45">
        <v>29453</v>
      </c>
      <c r="G9" s="45"/>
      <c r="H9" s="45"/>
      <c r="I9" s="45">
        <v>20000</v>
      </c>
      <c r="J9" s="45">
        <v>232450</v>
      </c>
      <c r="K9" s="45"/>
      <c r="L9" s="45"/>
      <c r="M9" s="45"/>
      <c r="N9" s="45"/>
      <c r="O9" s="85">
        <v>16378</v>
      </c>
      <c r="P9" s="86">
        <f t="shared" si="0"/>
        <v>1634481</v>
      </c>
    </row>
    <row r="10" spans="1:16" ht="12.75">
      <c r="A10" s="40" t="s">
        <v>25</v>
      </c>
      <c r="B10" s="44">
        <v>4247470</v>
      </c>
      <c r="C10" s="45"/>
      <c r="D10" s="45"/>
      <c r="E10" s="45"/>
      <c r="F10" s="45">
        <v>129858</v>
      </c>
      <c r="G10" s="45">
        <v>290000</v>
      </c>
      <c r="H10" s="45"/>
      <c r="I10" s="45">
        <v>158111</v>
      </c>
      <c r="J10" s="45">
        <v>1634605</v>
      </c>
      <c r="K10" s="45">
        <v>657618</v>
      </c>
      <c r="L10" s="45">
        <v>280526</v>
      </c>
      <c r="M10" s="45">
        <v>33217</v>
      </c>
      <c r="N10" s="45">
        <v>2006605</v>
      </c>
      <c r="O10" s="85">
        <v>1094030</v>
      </c>
      <c r="P10" s="86">
        <f t="shared" si="0"/>
        <v>10532040</v>
      </c>
    </row>
    <row r="11" spans="1:16" ht="12.75">
      <c r="A11" s="40" t="s">
        <v>26</v>
      </c>
      <c r="B11" s="44">
        <v>8836700</v>
      </c>
      <c r="C11" s="45">
        <v>15000</v>
      </c>
      <c r="D11" s="45"/>
      <c r="E11" s="45"/>
      <c r="F11" s="45">
        <v>532215</v>
      </c>
      <c r="G11" s="45"/>
      <c r="H11" s="45"/>
      <c r="I11" s="45"/>
      <c r="J11" s="45">
        <v>10547374</v>
      </c>
      <c r="K11" s="45">
        <v>1325676</v>
      </c>
      <c r="L11" s="45">
        <v>158062</v>
      </c>
      <c r="M11" s="45">
        <v>39550</v>
      </c>
      <c r="N11" s="45">
        <v>568877</v>
      </c>
      <c r="O11" s="85">
        <v>311632</v>
      </c>
      <c r="P11" s="86">
        <f t="shared" si="0"/>
        <v>22335086</v>
      </c>
    </row>
    <row r="12" spans="1:16" ht="12.75">
      <c r="A12" s="40" t="s">
        <v>27</v>
      </c>
      <c r="B12" s="44">
        <v>2902190</v>
      </c>
      <c r="C12" s="45"/>
      <c r="D12" s="45"/>
      <c r="E12" s="45"/>
      <c r="F12" s="45">
        <v>48017</v>
      </c>
      <c r="G12" s="45">
        <v>75000</v>
      </c>
      <c r="H12" s="45"/>
      <c r="I12" s="45"/>
      <c r="J12" s="45">
        <v>3362619</v>
      </c>
      <c r="K12" s="45">
        <v>134252</v>
      </c>
      <c r="L12" s="45">
        <v>49811</v>
      </c>
      <c r="M12" s="45">
        <v>19737</v>
      </c>
      <c r="N12" s="45">
        <v>78280</v>
      </c>
      <c r="O12" s="85">
        <v>133041</v>
      </c>
      <c r="P12" s="86">
        <f t="shared" si="0"/>
        <v>6802947</v>
      </c>
    </row>
    <row r="13" spans="1:16" ht="12.75">
      <c r="A13" s="40" t="s">
        <v>28</v>
      </c>
      <c r="B13" s="44">
        <v>1493580</v>
      </c>
      <c r="C13" s="45"/>
      <c r="D13" s="45"/>
      <c r="E13" s="45"/>
      <c r="F13" s="45">
        <v>1361658</v>
      </c>
      <c r="G13" s="45">
        <v>1076176</v>
      </c>
      <c r="H13" s="45"/>
      <c r="I13" s="45">
        <v>125199</v>
      </c>
      <c r="J13" s="45">
        <v>255027</v>
      </c>
      <c r="K13" s="45">
        <v>529865</v>
      </c>
      <c r="L13" s="45">
        <v>94096</v>
      </c>
      <c r="M13" s="45"/>
      <c r="N13" s="45">
        <v>875339</v>
      </c>
      <c r="O13" s="85">
        <v>65949</v>
      </c>
      <c r="P13" s="86">
        <f t="shared" si="0"/>
        <v>5876889</v>
      </c>
    </row>
    <row r="14" spans="1:16" ht="12.75">
      <c r="A14" s="40" t="s">
        <v>128</v>
      </c>
      <c r="B14" s="44">
        <v>3338300</v>
      </c>
      <c r="C14" s="45">
        <v>88712</v>
      </c>
      <c r="D14" s="45"/>
      <c r="E14" s="45">
        <v>2745400</v>
      </c>
      <c r="F14" s="45">
        <v>69705</v>
      </c>
      <c r="G14" s="45">
        <v>1223500</v>
      </c>
      <c r="H14" s="45"/>
      <c r="I14" s="45">
        <v>34990</v>
      </c>
      <c r="J14" s="45">
        <v>1232729</v>
      </c>
      <c r="K14" s="45">
        <v>109014</v>
      </c>
      <c r="L14" s="45"/>
      <c r="M14" s="45"/>
      <c r="N14" s="45">
        <v>115869</v>
      </c>
      <c r="O14" s="85">
        <v>157759</v>
      </c>
      <c r="P14" s="86">
        <f t="shared" si="0"/>
        <v>9115978</v>
      </c>
    </row>
    <row r="15" spans="1:16" ht="12.75">
      <c r="A15" s="40" t="s">
        <v>31</v>
      </c>
      <c r="B15" s="44">
        <v>8618580</v>
      </c>
      <c r="C15" s="45">
        <v>15000</v>
      </c>
      <c r="D15" s="45"/>
      <c r="E15" s="45"/>
      <c r="F15" s="45">
        <v>682056</v>
      </c>
      <c r="G15" s="45"/>
      <c r="H15" s="45">
        <v>864759</v>
      </c>
      <c r="I15" s="45"/>
      <c r="J15" s="45">
        <v>8747068</v>
      </c>
      <c r="K15" s="45">
        <v>2237428</v>
      </c>
      <c r="L15" s="45"/>
      <c r="M15" s="45">
        <v>36814</v>
      </c>
      <c r="N15" s="45">
        <v>422723</v>
      </c>
      <c r="O15" s="85">
        <v>1292427</v>
      </c>
      <c r="P15" s="86">
        <f t="shared" si="0"/>
        <v>22916855</v>
      </c>
    </row>
    <row r="16" spans="1:16" ht="12.75">
      <c r="A16" s="40" t="s">
        <v>129</v>
      </c>
      <c r="B16" s="44">
        <v>3077750</v>
      </c>
      <c r="C16" s="45"/>
      <c r="D16" s="45"/>
      <c r="E16" s="45"/>
      <c r="F16" s="45"/>
      <c r="G16" s="45">
        <v>70000</v>
      </c>
      <c r="H16" s="45">
        <v>450000</v>
      </c>
      <c r="I16" s="45"/>
      <c r="J16" s="45">
        <v>1405738</v>
      </c>
      <c r="K16" s="45">
        <v>21343</v>
      </c>
      <c r="L16" s="45">
        <v>2414</v>
      </c>
      <c r="M16" s="45">
        <v>700</v>
      </c>
      <c r="N16" s="45">
        <v>150939</v>
      </c>
      <c r="O16" s="85">
        <v>43401</v>
      </c>
      <c r="P16" s="86">
        <f t="shared" si="0"/>
        <v>5222285</v>
      </c>
    </row>
    <row r="17" spans="1:16" ht="12.75">
      <c r="A17" s="40" t="s">
        <v>33</v>
      </c>
      <c r="B17" s="44">
        <v>2987350</v>
      </c>
      <c r="C17" s="45"/>
      <c r="D17" s="45"/>
      <c r="E17" s="45">
        <v>1103000</v>
      </c>
      <c r="F17" s="45">
        <v>372819</v>
      </c>
      <c r="G17" s="45">
        <v>1790000</v>
      </c>
      <c r="H17" s="45"/>
      <c r="I17" s="45"/>
      <c r="J17" s="45">
        <v>946517</v>
      </c>
      <c r="K17" s="45">
        <v>248597</v>
      </c>
      <c r="L17" s="45">
        <v>116020</v>
      </c>
      <c r="M17" s="45">
        <v>268900</v>
      </c>
      <c r="N17" s="45">
        <v>202713</v>
      </c>
      <c r="O17" s="85">
        <v>267221</v>
      </c>
      <c r="P17" s="86">
        <f t="shared" si="0"/>
        <v>8303137</v>
      </c>
    </row>
    <row r="18" spans="1:16" ht="12.75">
      <c r="A18" s="40" t="s">
        <v>34</v>
      </c>
      <c r="B18" s="44">
        <v>2266800</v>
      </c>
      <c r="C18" s="45"/>
      <c r="D18" s="45">
        <v>2756315</v>
      </c>
      <c r="E18" s="45"/>
      <c r="F18" s="45">
        <v>124031</v>
      </c>
      <c r="G18" s="45">
        <v>5000</v>
      </c>
      <c r="H18" s="45"/>
      <c r="I18" s="45">
        <v>80000</v>
      </c>
      <c r="J18" s="45">
        <v>3098859</v>
      </c>
      <c r="K18" s="45"/>
      <c r="L18" s="45"/>
      <c r="M18" s="45"/>
      <c r="N18" s="45">
        <v>3744</v>
      </c>
      <c r="O18" s="85">
        <v>25908</v>
      </c>
      <c r="P18" s="86">
        <f t="shared" si="0"/>
        <v>8360657</v>
      </c>
    </row>
    <row r="19" spans="1:16" ht="12.75">
      <c r="A19" s="40" t="s">
        <v>130</v>
      </c>
      <c r="B19" s="44">
        <v>1034600</v>
      </c>
      <c r="C19" s="45">
        <v>46640</v>
      </c>
      <c r="D19" s="45"/>
      <c r="E19" s="45">
        <v>4965000</v>
      </c>
      <c r="F19" s="45"/>
      <c r="G19" s="45"/>
      <c r="H19" s="45"/>
      <c r="I19" s="45"/>
      <c r="J19" s="45">
        <v>913210</v>
      </c>
      <c r="K19" s="45">
        <v>268188</v>
      </c>
      <c r="L19" s="45">
        <v>247453</v>
      </c>
      <c r="M19" s="45">
        <v>3120</v>
      </c>
      <c r="N19" s="45">
        <v>1631526</v>
      </c>
      <c r="O19" s="85">
        <v>72510</v>
      </c>
      <c r="P19" s="86">
        <f t="shared" si="0"/>
        <v>9182247</v>
      </c>
    </row>
    <row r="20" spans="1:16" ht="12.75">
      <c r="A20" s="40" t="s">
        <v>131</v>
      </c>
      <c r="B20" s="44">
        <v>1606650</v>
      </c>
      <c r="C20" s="45">
        <v>10000</v>
      </c>
      <c r="D20" s="45"/>
      <c r="E20" s="45">
        <v>2599000</v>
      </c>
      <c r="F20" s="45"/>
      <c r="G20" s="45">
        <v>1450000</v>
      </c>
      <c r="H20" s="45"/>
      <c r="I20" s="45">
        <v>97576</v>
      </c>
      <c r="J20" s="45">
        <v>358314</v>
      </c>
      <c r="K20" s="45">
        <v>364183</v>
      </c>
      <c r="L20" s="45"/>
      <c r="M20" s="45"/>
      <c r="N20" s="45">
        <v>446732</v>
      </c>
      <c r="O20" s="85">
        <v>286249</v>
      </c>
      <c r="P20" s="86">
        <f t="shared" si="0"/>
        <v>7218704</v>
      </c>
    </row>
    <row r="21" spans="1:16" ht="12.75">
      <c r="A21" s="40" t="s">
        <v>132</v>
      </c>
      <c r="B21" s="44">
        <v>1244300</v>
      </c>
      <c r="C21" s="45">
        <v>55000</v>
      </c>
      <c r="D21" s="45"/>
      <c r="E21" s="45">
        <v>869000</v>
      </c>
      <c r="F21" s="45"/>
      <c r="G21" s="45">
        <v>1500000</v>
      </c>
      <c r="H21" s="45"/>
      <c r="I21" s="45"/>
      <c r="J21" s="45">
        <v>298407</v>
      </c>
      <c r="K21" s="45">
        <v>17465</v>
      </c>
      <c r="L21" s="45">
        <v>17586</v>
      </c>
      <c r="M21" s="45"/>
      <c r="N21" s="45">
        <v>122160</v>
      </c>
      <c r="O21" s="85">
        <v>272847</v>
      </c>
      <c r="P21" s="86">
        <f t="shared" si="0"/>
        <v>4396765</v>
      </c>
    </row>
    <row r="22" spans="1:16" ht="12.75">
      <c r="A22" s="40" t="s">
        <v>133</v>
      </c>
      <c r="B22" s="44">
        <v>5157950</v>
      </c>
      <c r="C22" s="45"/>
      <c r="D22" s="45">
        <v>549282</v>
      </c>
      <c r="E22" s="45"/>
      <c r="F22" s="45"/>
      <c r="G22" s="45">
        <v>500000</v>
      </c>
      <c r="H22" s="45">
        <v>360501</v>
      </c>
      <c r="I22" s="45">
        <v>256991</v>
      </c>
      <c r="J22" s="45">
        <v>814769</v>
      </c>
      <c r="K22" s="45">
        <v>312596</v>
      </c>
      <c r="L22" s="45"/>
      <c r="M22" s="45">
        <v>3000</v>
      </c>
      <c r="N22" s="45">
        <v>125993</v>
      </c>
      <c r="O22" s="85">
        <v>141690</v>
      </c>
      <c r="P22" s="86">
        <f t="shared" si="0"/>
        <v>8222772</v>
      </c>
    </row>
    <row r="23" spans="1:16" ht="12.75">
      <c r="A23" s="40" t="s">
        <v>134</v>
      </c>
      <c r="B23" s="44">
        <v>103600</v>
      </c>
      <c r="C23" s="45"/>
      <c r="D23" s="45"/>
      <c r="E23" s="45"/>
      <c r="F23" s="45"/>
      <c r="G23" s="45">
        <v>70000</v>
      </c>
      <c r="H23" s="45"/>
      <c r="I23" s="45"/>
      <c r="J23" s="45">
        <v>21362</v>
      </c>
      <c r="K23" s="45">
        <v>620</v>
      </c>
      <c r="L23" s="45"/>
      <c r="M23" s="45"/>
      <c r="N23" s="45">
        <v>50368</v>
      </c>
      <c r="O23" s="85">
        <v>36442</v>
      </c>
      <c r="P23" s="86">
        <f t="shared" si="0"/>
        <v>282392</v>
      </c>
    </row>
    <row r="24" spans="1:16" ht="12.75">
      <c r="A24" s="40" t="s">
        <v>40</v>
      </c>
      <c r="B24" s="44">
        <v>427500</v>
      </c>
      <c r="C24" s="45"/>
      <c r="D24" s="45"/>
      <c r="E24" s="45"/>
      <c r="F24" s="45"/>
      <c r="G24" s="45">
        <v>20000</v>
      </c>
      <c r="H24" s="45"/>
      <c r="I24" s="45"/>
      <c r="J24" s="45">
        <v>580878</v>
      </c>
      <c r="K24" s="45">
        <v>2115207</v>
      </c>
      <c r="L24" s="45"/>
      <c r="M24" s="45"/>
      <c r="N24" s="45">
        <v>23000</v>
      </c>
      <c r="O24" s="85">
        <v>33302</v>
      </c>
      <c r="P24" s="86">
        <f t="shared" si="0"/>
        <v>3199887</v>
      </c>
    </row>
    <row r="25" spans="1:16" ht="12.75">
      <c r="A25" s="40" t="s">
        <v>41</v>
      </c>
      <c r="B25" s="44">
        <v>591000</v>
      </c>
      <c r="C25" s="45"/>
      <c r="D25" s="45">
        <v>626641</v>
      </c>
      <c r="E25" s="45"/>
      <c r="F25" s="45">
        <v>32400</v>
      </c>
      <c r="G25" s="45">
        <v>625000</v>
      </c>
      <c r="H25" s="45"/>
      <c r="I25" s="45"/>
      <c r="J25" s="45">
        <v>163526</v>
      </c>
      <c r="K25" s="45">
        <v>12000</v>
      </c>
      <c r="L25" s="45"/>
      <c r="M25" s="45"/>
      <c r="N25" s="45">
        <v>30932</v>
      </c>
      <c r="O25" s="85">
        <v>19414</v>
      </c>
      <c r="P25" s="86">
        <f t="shared" si="0"/>
        <v>2100913</v>
      </c>
    </row>
    <row r="26" spans="1:16" ht="12.75">
      <c r="A26" s="40" t="s">
        <v>43</v>
      </c>
      <c r="B26" s="44">
        <v>690300</v>
      </c>
      <c r="C26" s="87"/>
      <c r="D26" s="45">
        <v>2665153</v>
      </c>
      <c r="E26" s="45"/>
      <c r="F26" s="45">
        <v>11878</v>
      </c>
      <c r="G26" s="45">
        <v>91132</v>
      </c>
      <c r="H26" s="45"/>
      <c r="I26" s="45"/>
      <c r="J26" s="45">
        <v>143260</v>
      </c>
      <c r="K26" s="45"/>
      <c r="L26" s="45"/>
      <c r="M26" s="45"/>
      <c r="N26" s="45">
        <v>67208</v>
      </c>
      <c r="O26" s="85">
        <v>191108</v>
      </c>
      <c r="P26" s="86">
        <f t="shared" si="0"/>
        <v>3860039</v>
      </c>
    </row>
    <row r="27" spans="1:16" ht="12.75">
      <c r="A27" s="40" t="s">
        <v>44</v>
      </c>
      <c r="B27" s="44">
        <v>3156000</v>
      </c>
      <c r="C27" s="45">
        <v>91152</v>
      </c>
      <c r="D27" s="45"/>
      <c r="E27" s="45">
        <v>2413400</v>
      </c>
      <c r="F27" s="45">
        <v>594366</v>
      </c>
      <c r="G27" s="45">
        <v>448632</v>
      </c>
      <c r="H27" s="45"/>
      <c r="I27" s="45">
        <v>571062</v>
      </c>
      <c r="J27" s="45">
        <v>483538</v>
      </c>
      <c r="K27" s="45">
        <v>560883</v>
      </c>
      <c r="L27" s="45"/>
      <c r="M27" s="45">
        <v>14005</v>
      </c>
      <c r="N27" s="45">
        <v>171795</v>
      </c>
      <c r="O27" s="85">
        <v>297619</v>
      </c>
      <c r="P27" s="86">
        <f t="shared" si="0"/>
        <v>8802452</v>
      </c>
    </row>
    <row r="28" spans="1:16" ht="12.75">
      <c r="A28" s="40" t="s">
        <v>45</v>
      </c>
      <c r="B28" s="44">
        <v>11133500</v>
      </c>
      <c r="C28" s="45"/>
      <c r="D28" s="45"/>
      <c r="E28" s="45"/>
      <c r="F28" s="45"/>
      <c r="G28" s="45"/>
      <c r="H28" s="45"/>
      <c r="I28" s="45"/>
      <c r="J28" s="45">
        <v>10277365</v>
      </c>
      <c r="K28" s="45">
        <v>588950</v>
      </c>
      <c r="L28" s="45"/>
      <c r="M28" s="45"/>
      <c r="N28" s="45">
        <v>26788</v>
      </c>
      <c r="O28" s="85">
        <v>730647</v>
      </c>
      <c r="P28" s="86">
        <f t="shared" si="0"/>
        <v>22757250</v>
      </c>
    </row>
    <row r="29" spans="1:16" ht="12.75">
      <c r="A29" s="48" t="s">
        <v>135</v>
      </c>
      <c r="B29" s="44">
        <v>881350</v>
      </c>
      <c r="C29" s="45"/>
      <c r="D29" s="45">
        <v>1267</v>
      </c>
      <c r="E29" s="45"/>
      <c r="F29" s="45"/>
      <c r="G29" s="45">
        <v>101000</v>
      </c>
      <c r="H29" s="45"/>
      <c r="I29" s="45">
        <v>41595</v>
      </c>
      <c r="J29" s="45">
        <v>50078</v>
      </c>
      <c r="K29" s="45"/>
      <c r="L29" s="45">
        <v>48205</v>
      </c>
      <c r="M29" s="45">
        <v>138800</v>
      </c>
      <c r="N29" s="45">
        <v>76448</v>
      </c>
      <c r="O29" s="85">
        <v>5659</v>
      </c>
      <c r="P29" s="86">
        <f t="shared" si="0"/>
        <v>1344402</v>
      </c>
    </row>
    <row r="30" spans="1:16" ht="12.75">
      <c r="A30" s="48" t="s">
        <v>136</v>
      </c>
      <c r="B30" s="44">
        <v>2169500</v>
      </c>
      <c r="C30" s="45"/>
      <c r="D30" s="45">
        <v>859641</v>
      </c>
      <c r="E30" s="45"/>
      <c r="F30" s="45"/>
      <c r="G30" s="45">
        <v>348000</v>
      </c>
      <c r="H30" s="45"/>
      <c r="I30" s="45">
        <v>12000</v>
      </c>
      <c r="J30" s="45">
        <v>477940</v>
      </c>
      <c r="K30" s="45">
        <v>253234</v>
      </c>
      <c r="L30" s="45">
        <v>432176</v>
      </c>
      <c r="M30" s="45">
        <v>6596</v>
      </c>
      <c r="N30" s="45">
        <v>208708</v>
      </c>
      <c r="O30" s="85">
        <v>50570</v>
      </c>
      <c r="P30" s="86">
        <f t="shared" si="0"/>
        <v>4818365</v>
      </c>
    </row>
    <row r="31" spans="1:16" ht="12.75">
      <c r="A31" s="40" t="s">
        <v>48</v>
      </c>
      <c r="B31" s="44">
        <v>1162400</v>
      </c>
      <c r="C31" s="45">
        <v>13496</v>
      </c>
      <c r="D31" s="45"/>
      <c r="E31" s="45">
        <v>502000</v>
      </c>
      <c r="F31" s="45">
        <v>14000</v>
      </c>
      <c r="G31" s="45">
        <v>12000</v>
      </c>
      <c r="H31" s="45"/>
      <c r="I31" s="45">
        <v>11345</v>
      </c>
      <c r="J31" s="45">
        <v>220196</v>
      </c>
      <c r="K31" s="45">
        <v>26559</v>
      </c>
      <c r="L31" s="45"/>
      <c r="M31" s="45">
        <v>21040</v>
      </c>
      <c r="N31" s="45">
        <v>19750</v>
      </c>
      <c r="O31" s="85">
        <v>35897</v>
      </c>
      <c r="P31" s="86">
        <f t="shared" si="0"/>
        <v>2038683</v>
      </c>
    </row>
    <row r="32" spans="1:16" ht="12.75">
      <c r="A32" s="40" t="s">
        <v>30</v>
      </c>
      <c r="B32" s="44">
        <v>1312400</v>
      </c>
      <c r="C32" s="45"/>
      <c r="D32" s="45"/>
      <c r="E32" s="45"/>
      <c r="F32" s="45">
        <v>930434</v>
      </c>
      <c r="G32" s="45">
        <v>100000</v>
      </c>
      <c r="H32" s="45"/>
      <c r="I32" s="45"/>
      <c r="J32" s="45">
        <v>170776</v>
      </c>
      <c r="K32" s="45">
        <v>165367</v>
      </c>
      <c r="L32" s="45">
        <v>16878</v>
      </c>
      <c r="M32" s="45"/>
      <c r="N32" s="45">
        <v>20300</v>
      </c>
      <c r="O32" s="85">
        <v>251718</v>
      </c>
      <c r="P32" s="86">
        <f t="shared" si="0"/>
        <v>2967873</v>
      </c>
    </row>
    <row r="33" spans="1:16" ht="12.75">
      <c r="A33" s="40" t="s">
        <v>42</v>
      </c>
      <c r="B33" s="44">
        <v>796200</v>
      </c>
      <c r="C33" s="45"/>
      <c r="D33" s="45"/>
      <c r="E33" s="45"/>
      <c r="F33" s="45"/>
      <c r="G33" s="45">
        <v>135806</v>
      </c>
      <c r="H33" s="45">
        <v>120000</v>
      </c>
      <c r="I33" s="45">
        <v>205237</v>
      </c>
      <c r="J33" s="45">
        <v>54765</v>
      </c>
      <c r="K33" s="45"/>
      <c r="L33" s="45">
        <v>19166</v>
      </c>
      <c r="M33" s="45"/>
      <c r="N33" s="45">
        <v>55940</v>
      </c>
      <c r="O33" s="85">
        <v>45657</v>
      </c>
      <c r="P33" s="86">
        <f t="shared" si="0"/>
        <v>1432771</v>
      </c>
    </row>
    <row r="34" spans="1:16" ht="13.5" thickBot="1">
      <c r="A34" s="88" t="s">
        <v>137</v>
      </c>
      <c r="B34" s="50">
        <v>105000</v>
      </c>
      <c r="C34" s="51"/>
      <c r="D34" s="51"/>
      <c r="E34" s="51"/>
      <c r="F34" s="51"/>
      <c r="G34" s="51"/>
      <c r="H34" s="51"/>
      <c r="I34" s="51"/>
      <c r="J34" s="51">
        <v>6924484</v>
      </c>
      <c r="K34" s="51">
        <v>1009814</v>
      </c>
      <c r="L34" s="51">
        <v>280778</v>
      </c>
      <c r="M34" s="51"/>
      <c r="N34" s="51">
        <v>6000</v>
      </c>
      <c r="O34" s="89">
        <v>4181523</v>
      </c>
      <c r="P34" s="86">
        <f t="shared" si="0"/>
        <v>12507599</v>
      </c>
    </row>
    <row r="35" spans="1:16" ht="13.5" thickBot="1">
      <c r="A35" s="90" t="s">
        <v>59</v>
      </c>
      <c r="B35" s="91">
        <f>SUM(B5:B34)</f>
        <v>77801417</v>
      </c>
      <c r="C35" s="92">
        <f aca="true" t="shared" si="1" ref="C35:P35">SUM(C5:C34)</f>
        <v>380000</v>
      </c>
      <c r="D35" s="92">
        <f t="shared" si="1"/>
        <v>7458299</v>
      </c>
      <c r="E35" s="92">
        <f t="shared" si="1"/>
        <v>18104800</v>
      </c>
      <c r="F35" s="92">
        <f t="shared" si="1"/>
        <v>4930178</v>
      </c>
      <c r="G35" s="92">
        <f t="shared" si="1"/>
        <v>11309923</v>
      </c>
      <c r="H35" s="92">
        <f t="shared" si="1"/>
        <v>2020260</v>
      </c>
      <c r="I35" s="92">
        <f t="shared" si="1"/>
        <v>1986595</v>
      </c>
      <c r="J35" s="92">
        <f t="shared" si="1"/>
        <v>57540773</v>
      </c>
      <c r="K35" s="92">
        <f t="shared" si="1"/>
        <v>11415317</v>
      </c>
      <c r="L35" s="92">
        <f t="shared" si="1"/>
        <v>1851809</v>
      </c>
      <c r="M35" s="92">
        <f t="shared" si="1"/>
        <v>613688</v>
      </c>
      <c r="N35" s="92">
        <f t="shared" si="1"/>
        <v>8261454</v>
      </c>
      <c r="O35" s="93">
        <f t="shared" si="1"/>
        <v>10269308</v>
      </c>
      <c r="P35" s="94">
        <f t="shared" si="1"/>
        <v>213943821</v>
      </c>
    </row>
    <row r="36" spans="2:16" ht="15.75">
      <c r="B36" s="58"/>
      <c r="C36" s="27"/>
      <c r="P36" s="56"/>
    </row>
    <row r="37" ht="12.75">
      <c r="P37" s="56"/>
    </row>
    <row r="38" spans="1:16" ht="18">
      <c r="A38" s="28"/>
      <c r="P38" s="56"/>
    </row>
    <row r="39" ht="12.75">
      <c r="P39" s="56"/>
    </row>
    <row r="40" ht="12.75">
      <c r="P40" s="56"/>
    </row>
    <row r="41" ht="12.75">
      <c r="P41" s="56"/>
    </row>
    <row r="42" ht="12.75">
      <c r="P42" s="56"/>
    </row>
  </sheetData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8" r:id="rId1"/>
  <headerFooter alignWithMargins="0">
    <oddHeader>&amp;L1. zasedání 31. synodu ČCE&amp;RTISK č. 11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="90" zoomScaleNormal="90" workbookViewId="0" topLeftCell="A1">
      <selection activeCell="B1" sqref="B1"/>
    </sheetView>
  </sheetViews>
  <sheetFormatPr defaultColWidth="9.140625" defaultRowHeight="12.75"/>
  <cols>
    <col min="1" max="1" width="12.00390625" style="1" bestFit="1" customWidth="1"/>
    <col min="2" max="2" width="10.57421875" style="1" customWidth="1"/>
    <col min="3" max="3" width="11.00390625" style="1" bestFit="1" customWidth="1"/>
    <col min="4" max="4" width="11.00390625" style="1" customWidth="1"/>
    <col min="5" max="5" width="11.00390625" style="1" bestFit="1" customWidth="1"/>
    <col min="6" max="7" width="9.8515625" style="1" bestFit="1" customWidth="1"/>
    <col min="8" max="9" width="11.00390625" style="1" bestFit="1" customWidth="1"/>
    <col min="10" max="10" width="11.28125" style="1" bestFit="1" customWidth="1"/>
    <col min="11" max="11" width="9.8515625" style="1" customWidth="1"/>
    <col min="12" max="12" width="9.8515625" style="1" bestFit="1" customWidth="1"/>
    <col min="13" max="13" width="12.00390625" style="1" bestFit="1" customWidth="1"/>
    <col min="14" max="16384" width="9.140625" style="1" customWidth="1"/>
  </cols>
  <sheetData>
    <row r="1" spans="1:13" ht="18">
      <c r="A1" s="59"/>
      <c r="B1" s="28" t="s">
        <v>341</v>
      </c>
      <c r="M1" s="4" t="s">
        <v>342</v>
      </c>
    </row>
    <row r="2" spans="1:2" ht="16.5" thickBot="1">
      <c r="A2" s="57"/>
      <c r="B2" s="29"/>
    </row>
    <row r="3" spans="2:13" ht="13.5" thickBot="1">
      <c r="B3" s="30" t="s">
        <v>138</v>
      </c>
      <c r="C3" s="31" t="s">
        <v>79</v>
      </c>
      <c r="D3" s="32" t="s">
        <v>139</v>
      </c>
      <c r="E3" s="33" t="s">
        <v>81</v>
      </c>
      <c r="F3" s="31" t="s">
        <v>140</v>
      </c>
      <c r="G3" s="31" t="s">
        <v>76</v>
      </c>
      <c r="H3" s="31" t="s">
        <v>73</v>
      </c>
      <c r="I3" s="31" t="s">
        <v>75</v>
      </c>
      <c r="J3" s="31" t="s">
        <v>77</v>
      </c>
      <c r="K3" s="31" t="s">
        <v>82</v>
      </c>
      <c r="L3" s="31" t="s">
        <v>78</v>
      </c>
      <c r="M3" s="34" t="s">
        <v>115</v>
      </c>
    </row>
    <row r="4" spans="1:13" ht="13.5" thickBot="1">
      <c r="A4" s="35" t="s">
        <v>116</v>
      </c>
      <c r="B4" s="36" t="s">
        <v>141</v>
      </c>
      <c r="C4" s="37"/>
      <c r="D4" s="37" t="s">
        <v>142</v>
      </c>
      <c r="E4" s="37"/>
      <c r="F4" s="37" t="s">
        <v>143</v>
      </c>
      <c r="G4" s="38"/>
      <c r="H4" s="37"/>
      <c r="I4" s="37"/>
      <c r="J4" s="37"/>
      <c r="K4" s="37"/>
      <c r="L4" s="36" t="s">
        <v>141</v>
      </c>
      <c r="M4" s="39"/>
    </row>
    <row r="5" spans="1:13" ht="12.75">
      <c r="A5" s="40" t="s">
        <v>20</v>
      </c>
      <c r="B5" s="41">
        <v>102325</v>
      </c>
      <c r="C5" s="42">
        <v>73373</v>
      </c>
      <c r="D5" s="42">
        <v>4163</v>
      </c>
      <c r="E5" s="42">
        <v>140276</v>
      </c>
      <c r="F5" s="42">
        <v>1373</v>
      </c>
      <c r="G5" s="42">
        <v>4611</v>
      </c>
      <c r="H5" s="42">
        <v>955428</v>
      </c>
      <c r="I5" s="42">
        <v>335175</v>
      </c>
      <c r="J5" s="42">
        <v>9813</v>
      </c>
      <c r="K5" s="42">
        <v>114077</v>
      </c>
      <c r="L5" s="42">
        <v>79707</v>
      </c>
      <c r="M5" s="43">
        <f aca="true" t="shared" si="0" ref="M5:M32">SUM(B5:L5)</f>
        <v>1820321</v>
      </c>
    </row>
    <row r="6" spans="1:13" ht="12.75">
      <c r="A6" s="40" t="s">
        <v>21</v>
      </c>
      <c r="B6" s="44">
        <v>964512</v>
      </c>
      <c r="C6" s="45">
        <v>477884</v>
      </c>
      <c r="D6" s="45">
        <v>71074</v>
      </c>
      <c r="E6" s="45">
        <v>936634</v>
      </c>
      <c r="F6" s="45"/>
      <c r="G6" s="45">
        <v>54646</v>
      </c>
      <c r="H6" s="45">
        <v>3398152</v>
      </c>
      <c r="I6" s="45">
        <v>1130932</v>
      </c>
      <c r="J6" s="45">
        <v>47430</v>
      </c>
      <c r="K6" s="45">
        <v>579506</v>
      </c>
      <c r="L6" s="45">
        <v>259714</v>
      </c>
      <c r="M6" s="46">
        <f t="shared" si="0"/>
        <v>7920484</v>
      </c>
    </row>
    <row r="7" spans="1:13" ht="12.75">
      <c r="A7" s="40" t="s">
        <v>127</v>
      </c>
      <c r="B7" s="44">
        <v>1551741</v>
      </c>
      <c r="C7" s="45">
        <v>466718</v>
      </c>
      <c r="D7" s="45">
        <v>165049</v>
      </c>
      <c r="E7" s="45">
        <v>601849</v>
      </c>
      <c r="F7" s="45">
        <v>300</v>
      </c>
      <c r="G7" s="45">
        <v>86510</v>
      </c>
      <c r="H7" s="45">
        <v>3063541</v>
      </c>
      <c r="I7" s="45">
        <v>1062525</v>
      </c>
      <c r="J7" s="45">
        <v>9394</v>
      </c>
      <c r="K7" s="45">
        <v>441449</v>
      </c>
      <c r="L7" s="45">
        <v>91261</v>
      </c>
      <c r="M7" s="46">
        <f t="shared" si="0"/>
        <v>7540337</v>
      </c>
    </row>
    <row r="8" spans="1:13" ht="12.75">
      <c r="A8" s="40" t="s">
        <v>23</v>
      </c>
      <c r="B8" s="44">
        <v>65748</v>
      </c>
      <c r="C8" s="45">
        <v>84817</v>
      </c>
      <c r="D8" s="45">
        <v>3457</v>
      </c>
      <c r="E8" s="45">
        <v>198423</v>
      </c>
      <c r="F8" s="45">
        <v>5971</v>
      </c>
      <c r="G8" s="45">
        <v>12462</v>
      </c>
      <c r="H8" s="45">
        <v>624350</v>
      </c>
      <c r="I8" s="45">
        <v>224192</v>
      </c>
      <c r="J8" s="45">
        <v>44635</v>
      </c>
      <c r="K8" s="45">
        <v>187968</v>
      </c>
      <c r="L8" s="45">
        <v>90838</v>
      </c>
      <c r="M8" s="46">
        <f t="shared" si="0"/>
        <v>1542861</v>
      </c>
    </row>
    <row r="9" spans="1:13" ht="12.75">
      <c r="A9" s="40" t="s">
        <v>24</v>
      </c>
      <c r="B9" s="44">
        <v>289877</v>
      </c>
      <c r="C9" s="45">
        <v>86358</v>
      </c>
      <c r="D9" s="45">
        <v>232425</v>
      </c>
      <c r="E9" s="45">
        <v>148556</v>
      </c>
      <c r="F9" s="45">
        <v>1592</v>
      </c>
      <c r="G9" s="45">
        <v>28407</v>
      </c>
      <c r="H9" s="45">
        <v>649647</v>
      </c>
      <c r="I9" s="45">
        <v>164054</v>
      </c>
      <c r="J9" s="45">
        <v>13031</v>
      </c>
      <c r="K9" s="45">
        <v>167431</v>
      </c>
      <c r="L9" s="45">
        <v>196946</v>
      </c>
      <c r="M9" s="46">
        <f t="shared" si="0"/>
        <v>1978324</v>
      </c>
    </row>
    <row r="10" spans="1:13" ht="12.75">
      <c r="A10" s="40" t="s">
        <v>25</v>
      </c>
      <c r="B10" s="44">
        <v>2527550</v>
      </c>
      <c r="C10" s="45">
        <v>496149</v>
      </c>
      <c r="D10" s="45">
        <v>136635</v>
      </c>
      <c r="E10" s="45">
        <v>1225028</v>
      </c>
      <c r="F10" s="45">
        <v>4720</v>
      </c>
      <c r="G10" s="45">
        <v>85323</v>
      </c>
      <c r="H10" s="45">
        <v>4307438</v>
      </c>
      <c r="I10" s="45">
        <v>1494858</v>
      </c>
      <c r="J10" s="45">
        <v>136550</v>
      </c>
      <c r="K10" s="45">
        <v>332835</v>
      </c>
      <c r="L10" s="45">
        <v>475519</v>
      </c>
      <c r="M10" s="46">
        <f t="shared" si="0"/>
        <v>11222605</v>
      </c>
    </row>
    <row r="11" spans="1:13" ht="12.75">
      <c r="A11" s="40" t="s">
        <v>26</v>
      </c>
      <c r="B11" s="44">
        <v>2339293</v>
      </c>
      <c r="C11" s="45">
        <v>1673984</v>
      </c>
      <c r="D11" s="45">
        <v>1226436</v>
      </c>
      <c r="E11" s="45">
        <v>6015452</v>
      </c>
      <c r="F11" s="45">
        <v>25488</v>
      </c>
      <c r="G11" s="45">
        <v>130358</v>
      </c>
      <c r="H11" s="45">
        <v>8334998</v>
      </c>
      <c r="I11" s="45">
        <v>2889190</v>
      </c>
      <c r="J11" s="45">
        <v>17720</v>
      </c>
      <c r="K11" s="45">
        <v>959632</v>
      </c>
      <c r="L11" s="45">
        <v>349709</v>
      </c>
      <c r="M11" s="46">
        <f t="shared" si="0"/>
        <v>23962260</v>
      </c>
    </row>
    <row r="12" spans="1:13" ht="12.75">
      <c r="A12" s="40" t="s">
        <v>27</v>
      </c>
      <c r="B12" s="44">
        <v>1851004</v>
      </c>
      <c r="C12" s="45">
        <v>557245</v>
      </c>
      <c r="D12" s="45">
        <v>174672</v>
      </c>
      <c r="E12" s="45">
        <v>493065</v>
      </c>
      <c r="F12" s="45">
        <v>8208</v>
      </c>
      <c r="G12" s="45">
        <v>66820</v>
      </c>
      <c r="H12" s="45">
        <v>2846098</v>
      </c>
      <c r="I12" s="45">
        <v>994355</v>
      </c>
      <c r="J12" s="45">
        <v>37274</v>
      </c>
      <c r="K12" s="45">
        <v>714241</v>
      </c>
      <c r="L12" s="45">
        <v>223133</v>
      </c>
      <c r="M12" s="46">
        <f t="shared" si="0"/>
        <v>7966115</v>
      </c>
    </row>
    <row r="13" spans="1:13" ht="12.75">
      <c r="A13" s="40" t="s">
        <v>28</v>
      </c>
      <c r="B13" s="44">
        <v>549916</v>
      </c>
      <c r="C13" s="45">
        <v>275182</v>
      </c>
      <c r="D13" s="45">
        <v>123382</v>
      </c>
      <c r="E13" s="45">
        <v>660924</v>
      </c>
      <c r="F13" s="45">
        <v>6290</v>
      </c>
      <c r="G13" s="45">
        <v>42132</v>
      </c>
      <c r="H13" s="45">
        <v>2793648</v>
      </c>
      <c r="I13" s="45">
        <v>948149</v>
      </c>
      <c r="J13" s="45">
        <v>90295</v>
      </c>
      <c r="K13" s="45">
        <v>224448</v>
      </c>
      <c r="L13" s="45">
        <v>115483</v>
      </c>
      <c r="M13" s="46">
        <f t="shared" si="0"/>
        <v>5829849</v>
      </c>
    </row>
    <row r="14" spans="1:13" ht="12.75">
      <c r="A14" s="40" t="s">
        <v>128</v>
      </c>
      <c r="B14" s="44">
        <v>1399432</v>
      </c>
      <c r="C14" s="45">
        <v>531099</v>
      </c>
      <c r="D14" s="45">
        <v>399924</v>
      </c>
      <c r="E14" s="45">
        <v>1138069</v>
      </c>
      <c r="F14" s="45"/>
      <c r="G14" s="45">
        <v>58384</v>
      </c>
      <c r="H14" s="45">
        <v>3926733</v>
      </c>
      <c r="I14" s="45">
        <v>1390267</v>
      </c>
      <c r="J14" s="45">
        <v>171625</v>
      </c>
      <c r="K14" s="45">
        <v>398358</v>
      </c>
      <c r="L14" s="45">
        <v>285086</v>
      </c>
      <c r="M14" s="46">
        <f t="shared" si="0"/>
        <v>9698977</v>
      </c>
    </row>
    <row r="15" spans="1:13" ht="12.75">
      <c r="A15" s="40" t="s">
        <v>31</v>
      </c>
      <c r="B15" s="44">
        <v>6437350</v>
      </c>
      <c r="C15" s="45">
        <v>1583838</v>
      </c>
      <c r="D15" s="45">
        <v>2550278</v>
      </c>
      <c r="E15" s="45">
        <v>1091065</v>
      </c>
      <c r="F15" s="45">
        <v>74871</v>
      </c>
      <c r="G15" s="45">
        <v>170256</v>
      </c>
      <c r="H15" s="45">
        <v>7842601</v>
      </c>
      <c r="I15" s="45">
        <v>2749886</v>
      </c>
      <c r="J15" s="45">
        <v>213000</v>
      </c>
      <c r="K15" s="45">
        <v>160319</v>
      </c>
      <c r="L15" s="45">
        <v>156765</v>
      </c>
      <c r="M15" s="46">
        <f t="shared" si="0"/>
        <v>23030229</v>
      </c>
    </row>
    <row r="16" spans="1:13" ht="12.75">
      <c r="A16" s="40" t="s">
        <v>129</v>
      </c>
      <c r="B16" s="44">
        <v>773523</v>
      </c>
      <c r="C16" s="45">
        <v>273575</v>
      </c>
      <c r="D16" s="45">
        <v>112866</v>
      </c>
      <c r="E16" s="45">
        <v>416917</v>
      </c>
      <c r="F16" s="45">
        <v>6290</v>
      </c>
      <c r="G16" s="45">
        <v>48353</v>
      </c>
      <c r="H16" s="45">
        <v>2666386</v>
      </c>
      <c r="I16" s="45">
        <v>917690</v>
      </c>
      <c r="J16" s="45">
        <v>18000</v>
      </c>
      <c r="K16" s="45">
        <v>204587</v>
      </c>
      <c r="L16" s="45">
        <v>189428</v>
      </c>
      <c r="M16" s="46">
        <f t="shared" si="0"/>
        <v>5627615</v>
      </c>
    </row>
    <row r="17" spans="1:13" ht="12.75">
      <c r="A17" s="40" t="s">
        <v>33</v>
      </c>
      <c r="B17" s="44">
        <v>624349</v>
      </c>
      <c r="C17" s="45">
        <v>337214</v>
      </c>
      <c r="D17" s="45">
        <v>93922</v>
      </c>
      <c r="E17" s="45">
        <v>777247</v>
      </c>
      <c r="F17" s="45">
        <v>200</v>
      </c>
      <c r="G17" s="45">
        <v>81510</v>
      </c>
      <c r="H17" s="45">
        <v>4406915</v>
      </c>
      <c r="I17" s="45">
        <v>1562026</v>
      </c>
      <c r="J17" s="45">
        <v>114122</v>
      </c>
      <c r="K17" s="45">
        <v>152562</v>
      </c>
      <c r="L17" s="45">
        <v>139983</v>
      </c>
      <c r="M17" s="46">
        <f t="shared" si="0"/>
        <v>8290050</v>
      </c>
    </row>
    <row r="18" spans="1:13" ht="12.75">
      <c r="A18" s="40" t="s">
        <v>34</v>
      </c>
      <c r="B18" s="44">
        <v>1406733</v>
      </c>
      <c r="C18" s="45">
        <v>29809</v>
      </c>
      <c r="D18" s="45">
        <v>51813</v>
      </c>
      <c r="E18" s="45">
        <v>661310</v>
      </c>
      <c r="F18" s="45">
        <v>13614</v>
      </c>
      <c r="G18" s="45">
        <v>25439</v>
      </c>
      <c r="H18" s="45">
        <v>4396891</v>
      </c>
      <c r="I18" s="45">
        <v>1541173</v>
      </c>
      <c r="J18" s="45">
        <v>86222</v>
      </c>
      <c r="K18" s="45">
        <v>107401</v>
      </c>
      <c r="L18" s="45">
        <v>176128</v>
      </c>
      <c r="M18" s="46">
        <f t="shared" si="0"/>
        <v>8496533</v>
      </c>
    </row>
    <row r="19" spans="1:13" ht="12.75">
      <c r="A19" s="40" t="s">
        <v>130</v>
      </c>
      <c r="B19" s="44">
        <v>806357</v>
      </c>
      <c r="C19" s="45">
        <v>526085</v>
      </c>
      <c r="D19" s="45">
        <v>860475</v>
      </c>
      <c r="E19" s="45">
        <v>891563</v>
      </c>
      <c r="F19" s="45">
        <v>22903</v>
      </c>
      <c r="G19" s="45">
        <v>136562</v>
      </c>
      <c r="H19" s="45">
        <v>4042052</v>
      </c>
      <c r="I19" s="45">
        <v>1412091</v>
      </c>
      <c r="J19" s="45">
        <v>12883</v>
      </c>
      <c r="K19" s="45">
        <v>337320</v>
      </c>
      <c r="L19" s="45">
        <v>7721</v>
      </c>
      <c r="M19" s="46">
        <f t="shared" si="0"/>
        <v>9056012</v>
      </c>
    </row>
    <row r="20" spans="1:13" ht="12.75">
      <c r="A20" s="40" t="s">
        <v>131</v>
      </c>
      <c r="B20" s="44">
        <v>517720</v>
      </c>
      <c r="C20" s="45">
        <v>514880</v>
      </c>
      <c r="D20" s="45">
        <v>130783</v>
      </c>
      <c r="E20" s="45">
        <v>622814</v>
      </c>
      <c r="F20" s="45">
        <v>800</v>
      </c>
      <c r="G20" s="45">
        <v>93493</v>
      </c>
      <c r="H20" s="45">
        <v>3761877</v>
      </c>
      <c r="I20" s="45">
        <v>1296099</v>
      </c>
      <c r="J20" s="45">
        <v>108150</v>
      </c>
      <c r="K20" s="45">
        <v>176137</v>
      </c>
      <c r="L20" s="45">
        <v>247374</v>
      </c>
      <c r="M20" s="46">
        <f t="shared" si="0"/>
        <v>7470127</v>
      </c>
    </row>
    <row r="21" spans="1:13" ht="12.75">
      <c r="A21" s="40" t="s">
        <v>132</v>
      </c>
      <c r="B21" s="44">
        <v>412331</v>
      </c>
      <c r="C21" s="45">
        <v>146461</v>
      </c>
      <c r="D21" s="45">
        <v>186820</v>
      </c>
      <c r="E21" s="45">
        <v>771492</v>
      </c>
      <c r="F21" s="45">
        <v>20261</v>
      </c>
      <c r="G21" s="45">
        <v>9371</v>
      </c>
      <c r="H21" s="45">
        <v>1873144</v>
      </c>
      <c r="I21" s="45">
        <v>612367</v>
      </c>
      <c r="J21" s="45">
        <v>56826</v>
      </c>
      <c r="K21" s="45">
        <v>250161</v>
      </c>
      <c r="L21" s="45">
        <v>57531</v>
      </c>
      <c r="M21" s="46">
        <f t="shared" si="0"/>
        <v>4396765</v>
      </c>
    </row>
    <row r="22" spans="1:13" ht="12.75">
      <c r="A22" s="40" t="s">
        <v>133</v>
      </c>
      <c r="B22" s="44">
        <v>368877</v>
      </c>
      <c r="C22" s="45">
        <v>193392</v>
      </c>
      <c r="D22" s="45">
        <v>139497</v>
      </c>
      <c r="E22" s="45">
        <v>1377539</v>
      </c>
      <c r="F22" s="45">
        <v>10011</v>
      </c>
      <c r="G22" s="45">
        <v>74182</v>
      </c>
      <c r="H22" s="45">
        <v>4393287</v>
      </c>
      <c r="I22" s="45">
        <v>1594550</v>
      </c>
      <c r="J22" s="45">
        <v>271348</v>
      </c>
      <c r="K22" s="45">
        <v>204445</v>
      </c>
      <c r="L22" s="45">
        <v>341031</v>
      </c>
      <c r="M22" s="46">
        <f t="shared" si="0"/>
        <v>8968159</v>
      </c>
    </row>
    <row r="23" spans="1:13" ht="12.75">
      <c r="A23" s="40" t="s">
        <v>134</v>
      </c>
      <c r="B23" s="44">
        <v>22449</v>
      </c>
      <c r="C23" s="45">
        <v>11073</v>
      </c>
      <c r="D23" s="45">
        <v>5904</v>
      </c>
      <c r="E23" s="45">
        <v>54903</v>
      </c>
      <c r="F23" s="45">
        <v>3812</v>
      </c>
      <c r="G23" s="45">
        <v>7458</v>
      </c>
      <c r="H23" s="45">
        <v>170203</v>
      </c>
      <c r="I23" s="45">
        <v>59578</v>
      </c>
      <c r="J23" s="45">
        <v>11240</v>
      </c>
      <c r="K23" s="45"/>
      <c r="L23" s="45">
        <v>42535</v>
      </c>
      <c r="M23" s="46">
        <f t="shared" si="0"/>
        <v>389155</v>
      </c>
    </row>
    <row r="24" spans="1:13" ht="12.75">
      <c r="A24" s="40" t="s">
        <v>40</v>
      </c>
      <c r="B24" s="44">
        <v>329997</v>
      </c>
      <c r="C24" s="45">
        <v>135618</v>
      </c>
      <c r="D24" s="45">
        <v>56179</v>
      </c>
      <c r="E24" s="45">
        <v>709015</v>
      </c>
      <c r="F24" s="45">
        <v>82844</v>
      </c>
      <c r="G24" s="45">
        <v>35157</v>
      </c>
      <c r="H24" s="45">
        <v>1275549</v>
      </c>
      <c r="I24" s="45">
        <v>445851</v>
      </c>
      <c r="J24" s="45">
        <v>59870</v>
      </c>
      <c r="K24" s="45">
        <v>66399</v>
      </c>
      <c r="L24" s="45">
        <v>67803</v>
      </c>
      <c r="M24" s="46">
        <f t="shared" si="0"/>
        <v>3264282</v>
      </c>
    </row>
    <row r="25" spans="1:13" ht="12.75">
      <c r="A25" s="40" t="s">
        <v>41</v>
      </c>
      <c r="B25" s="44">
        <v>197363</v>
      </c>
      <c r="C25" s="45">
        <v>11639</v>
      </c>
      <c r="D25" s="45">
        <v>11918</v>
      </c>
      <c r="E25" s="45">
        <v>273056</v>
      </c>
      <c r="F25" s="45">
        <v>2340</v>
      </c>
      <c r="G25" s="45">
        <v>17569</v>
      </c>
      <c r="H25" s="45">
        <v>1024963</v>
      </c>
      <c r="I25" s="45">
        <v>357128</v>
      </c>
      <c r="J25" s="45">
        <v>6028</v>
      </c>
      <c r="K25" s="45">
        <v>2933</v>
      </c>
      <c r="L25" s="45">
        <v>85257</v>
      </c>
      <c r="M25" s="46">
        <f t="shared" si="0"/>
        <v>1990194</v>
      </c>
    </row>
    <row r="26" spans="1:13" ht="12.75">
      <c r="A26" s="40" t="s">
        <v>43</v>
      </c>
      <c r="B26" s="44">
        <v>490060</v>
      </c>
      <c r="C26" s="47">
        <v>30265</v>
      </c>
      <c r="D26" s="45">
        <v>344199</v>
      </c>
      <c r="E26" s="45">
        <v>417044</v>
      </c>
      <c r="F26" s="45">
        <v>46358</v>
      </c>
      <c r="G26" s="45">
        <v>40666</v>
      </c>
      <c r="H26" s="45">
        <v>1352944</v>
      </c>
      <c r="I26" s="45">
        <v>475445</v>
      </c>
      <c r="J26" s="45">
        <v>64298</v>
      </c>
      <c r="K26" s="45">
        <v>110614</v>
      </c>
      <c r="L26" s="45">
        <v>145965</v>
      </c>
      <c r="M26" s="46">
        <f t="shared" si="0"/>
        <v>3517858</v>
      </c>
    </row>
    <row r="27" spans="1:13" ht="12.75">
      <c r="A27" s="40" t="s">
        <v>44</v>
      </c>
      <c r="B27" s="44">
        <v>986465</v>
      </c>
      <c r="C27" s="45">
        <v>217174</v>
      </c>
      <c r="D27" s="45">
        <v>167895</v>
      </c>
      <c r="E27" s="45">
        <v>1053561</v>
      </c>
      <c r="F27" s="45">
        <v>30041</v>
      </c>
      <c r="G27" s="45">
        <v>67599</v>
      </c>
      <c r="H27" s="45">
        <v>4309697</v>
      </c>
      <c r="I27" s="45">
        <v>1458904</v>
      </c>
      <c r="J27" s="45">
        <v>94356</v>
      </c>
      <c r="K27" s="45">
        <v>96147</v>
      </c>
      <c r="L27" s="45">
        <v>243072</v>
      </c>
      <c r="M27" s="46">
        <f t="shared" si="0"/>
        <v>8724911</v>
      </c>
    </row>
    <row r="28" spans="1:13" ht="12.75">
      <c r="A28" s="40" t="s">
        <v>45</v>
      </c>
      <c r="B28" s="44">
        <v>5766965</v>
      </c>
      <c r="C28" s="45">
        <v>1119786</v>
      </c>
      <c r="D28" s="45">
        <v>3084920</v>
      </c>
      <c r="E28" s="45">
        <v>1616389</v>
      </c>
      <c r="F28" s="45">
        <v>31716</v>
      </c>
      <c r="G28" s="45">
        <v>267314</v>
      </c>
      <c r="H28" s="45">
        <v>9250865</v>
      </c>
      <c r="I28" s="45">
        <v>3239180</v>
      </c>
      <c r="J28" s="45">
        <v>115754</v>
      </c>
      <c r="K28" s="45">
        <v>852589</v>
      </c>
      <c r="L28" s="45">
        <v>361516</v>
      </c>
      <c r="M28" s="46">
        <f t="shared" si="0"/>
        <v>25706994</v>
      </c>
    </row>
    <row r="29" spans="1:13" ht="12.75">
      <c r="A29" s="48" t="s">
        <v>135</v>
      </c>
      <c r="B29" s="44">
        <v>109817</v>
      </c>
      <c r="C29" s="45">
        <v>72464</v>
      </c>
      <c r="D29" s="45">
        <v>3399</v>
      </c>
      <c r="E29" s="45">
        <v>101821</v>
      </c>
      <c r="F29" s="45">
        <v>3273</v>
      </c>
      <c r="G29" s="45">
        <v>9984</v>
      </c>
      <c r="H29" s="45">
        <v>688868</v>
      </c>
      <c r="I29" s="45">
        <v>241283</v>
      </c>
      <c r="J29" s="45">
        <v>5000</v>
      </c>
      <c r="K29" s="45">
        <v>9504</v>
      </c>
      <c r="L29" s="45">
        <v>63678</v>
      </c>
      <c r="M29" s="46">
        <f t="shared" si="0"/>
        <v>1309091</v>
      </c>
    </row>
    <row r="30" spans="1:13" ht="12.75">
      <c r="A30" s="48" t="s">
        <v>136</v>
      </c>
      <c r="B30" s="44">
        <v>295801</v>
      </c>
      <c r="C30" s="45">
        <v>89853</v>
      </c>
      <c r="D30" s="45">
        <v>54521</v>
      </c>
      <c r="E30" s="45">
        <v>585570</v>
      </c>
      <c r="F30" s="45">
        <v>7934</v>
      </c>
      <c r="G30" s="45">
        <v>68975</v>
      </c>
      <c r="H30" s="45">
        <v>2382079</v>
      </c>
      <c r="I30" s="45">
        <v>828295</v>
      </c>
      <c r="J30" s="45">
        <v>38219</v>
      </c>
      <c r="K30" s="45">
        <v>331856</v>
      </c>
      <c r="L30" s="45">
        <v>167337</v>
      </c>
      <c r="M30" s="46">
        <f t="shared" si="0"/>
        <v>4850440</v>
      </c>
    </row>
    <row r="31" spans="1:13" ht="12.75">
      <c r="A31" s="40" t="s">
        <v>48</v>
      </c>
      <c r="B31" s="44">
        <v>205181</v>
      </c>
      <c r="C31" s="45"/>
      <c r="D31" s="45">
        <v>16123</v>
      </c>
      <c r="E31" s="45">
        <v>403899</v>
      </c>
      <c r="F31" s="45">
        <v>50</v>
      </c>
      <c r="G31" s="45">
        <v>47265</v>
      </c>
      <c r="H31" s="45">
        <v>1080457</v>
      </c>
      <c r="I31" s="45">
        <v>390998</v>
      </c>
      <c r="J31" s="45">
        <v>46920</v>
      </c>
      <c r="K31" s="45">
        <v>165811</v>
      </c>
      <c r="L31" s="45">
        <v>61958</v>
      </c>
      <c r="M31" s="46">
        <f t="shared" si="0"/>
        <v>2418662</v>
      </c>
    </row>
    <row r="32" spans="1:13" ht="12.75">
      <c r="A32" s="40" t="s">
        <v>30</v>
      </c>
      <c r="B32" s="44">
        <v>274737</v>
      </c>
      <c r="C32" s="45">
        <v>184181</v>
      </c>
      <c r="D32" s="45">
        <v>138106</v>
      </c>
      <c r="E32" s="45">
        <v>423640</v>
      </c>
      <c r="F32" s="45">
        <v>4200</v>
      </c>
      <c r="G32" s="45">
        <v>29803</v>
      </c>
      <c r="H32" s="45">
        <v>1241338</v>
      </c>
      <c r="I32" s="45">
        <v>461092</v>
      </c>
      <c r="J32" s="45"/>
      <c r="K32" s="45">
        <v>39294</v>
      </c>
      <c r="L32" s="45">
        <v>164515</v>
      </c>
      <c r="M32" s="46">
        <f t="shared" si="0"/>
        <v>2960906</v>
      </c>
    </row>
    <row r="33" spans="1:13" ht="12.75">
      <c r="A33" s="40" t="s">
        <v>42</v>
      </c>
      <c r="B33" s="44">
        <v>204434</v>
      </c>
      <c r="C33" s="45">
        <v>27300</v>
      </c>
      <c r="D33" s="45">
        <v>30228</v>
      </c>
      <c r="E33" s="45">
        <v>329964</v>
      </c>
      <c r="F33" s="45">
        <v>4000</v>
      </c>
      <c r="G33" s="45"/>
      <c r="H33" s="45">
        <v>645258</v>
      </c>
      <c r="I33" s="45">
        <v>221720</v>
      </c>
      <c r="J33" s="45">
        <v>4403</v>
      </c>
      <c r="K33" s="45">
        <v>7140</v>
      </c>
      <c r="L33" s="45">
        <v>89157</v>
      </c>
      <c r="M33" s="46">
        <f>SUM(B33:L33)</f>
        <v>1563604</v>
      </c>
    </row>
    <row r="34" spans="1:13" ht="13.5" thickBot="1">
      <c r="A34" s="49" t="s">
        <v>137</v>
      </c>
      <c r="B34" s="50">
        <v>2646958</v>
      </c>
      <c r="C34" s="51">
        <v>68349</v>
      </c>
      <c r="D34" s="51">
        <v>672206</v>
      </c>
      <c r="E34" s="51">
        <v>1567744</v>
      </c>
      <c r="F34" s="51">
        <v>66117</v>
      </c>
      <c r="G34" s="51">
        <v>114006</v>
      </c>
      <c r="H34" s="51">
        <v>3633504</v>
      </c>
      <c r="I34" s="51">
        <v>1272056</v>
      </c>
      <c r="J34" s="51">
        <v>265228</v>
      </c>
      <c r="K34" s="51">
        <v>497688</v>
      </c>
      <c r="L34" s="51">
        <v>1832417</v>
      </c>
      <c r="M34" s="52">
        <f>SUM(B34:L34)</f>
        <v>12636273</v>
      </c>
    </row>
    <row r="35" spans="1:13" ht="13.5" thickBot="1">
      <c r="A35" s="53" t="s">
        <v>59</v>
      </c>
      <c r="B35" s="54">
        <f>SUM(B5:B34)</f>
        <v>34518865</v>
      </c>
      <c r="C35" s="54">
        <f aca="true" t="shared" si="1" ref="C35:M35">SUM(C5:C34)</f>
        <v>10295765</v>
      </c>
      <c r="D35" s="54">
        <f t="shared" si="1"/>
        <v>11249269</v>
      </c>
      <c r="E35" s="54">
        <f t="shared" si="1"/>
        <v>25704829</v>
      </c>
      <c r="F35" s="54">
        <f t="shared" si="1"/>
        <v>485577</v>
      </c>
      <c r="G35" s="54">
        <f t="shared" si="1"/>
        <v>1914615</v>
      </c>
      <c r="H35" s="54">
        <f t="shared" si="1"/>
        <v>91338911</v>
      </c>
      <c r="I35" s="54">
        <f t="shared" si="1"/>
        <v>31771109</v>
      </c>
      <c r="J35" s="54">
        <f t="shared" si="1"/>
        <v>2169634</v>
      </c>
      <c r="K35" s="54">
        <f t="shared" si="1"/>
        <v>7892852</v>
      </c>
      <c r="L35" s="54">
        <f t="shared" si="1"/>
        <v>6808567</v>
      </c>
      <c r="M35" s="55">
        <f t="shared" si="1"/>
        <v>224149993</v>
      </c>
    </row>
    <row r="36" spans="13:14" ht="12.75">
      <c r="M36" s="56"/>
      <c r="N36" s="57"/>
    </row>
    <row r="37" spans="1:14" ht="15.75">
      <c r="A37" s="27"/>
      <c r="B37" s="58"/>
      <c r="M37" s="57"/>
      <c r="N37" s="57"/>
    </row>
  </sheetData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1" r:id="rId1"/>
  <headerFooter alignWithMargins="0">
    <oddHeader>&amp;L1. zasedání 31. synodu ČCE&amp;RTISK č. 11 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="90" zoomScaleNormal="90" workbookViewId="0" topLeftCell="A1">
      <selection activeCell="F34" sqref="F34"/>
    </sheetView>
  </sheetViews>
  <sheetFormatPr defaultColWidth="9.140625" defaultRowHeight="12.75"/>
  <cols>
    <col min="1" max="1" width="22.28125" style="8" customWidth="1"/>
    <col min="2" max="3" width="14.7109375" style="8" customWidth="1"/>
    <col min="4" max="4" width="24.28125" style="8" customWidth="1"/>
    <col min="5" max="16384" width="14.7109375" style="8" customWidth="1"/>
  </cols>
  <sheetData>
    <row r="1" spans="1:5" ht="18">
      <c r="A1" s="28" t="s">
        <v>343</v>
      </c>
      <c r="E1" s="291" t="s">
        <v>344</v>
      </c>
    </row>
    <row r="2" ht="13.5" thickBot="1"/>
    <row r="3" spans="1:4" ht="13.5" thickBot="1">
      <c r="A3" s="60" t="s">
        <v>116</v>
      </c>
      <c r="B3" s="9" t="s">
        <v>144</v>
      </c>
      <c r="C3" s="10" t="s">
        <v>65</v>
      </c>
      <c r="D3" s="11" t="s">
        <v>145</v>
      </c>
    </row>
    <row r="4" spans="1:4" ht="12.75">
      <c r="A4" s="61" t="s">
        <v>20</v>
      </c>
      <c r="B4" s="12">
        <v>1813706</v>
      </c>
      <c r="C4" s="13">
        <v>1820321</v>
      </c>
      <c r="D4" s="14">
        <f>B4-C4</f>
        <v>-6615</v>
      </c>
    </row>
    <row r="5" spans="1:4" ht="12.75">
      <c r="A5" s="62" t="s">
        <v>21</v>
      </c>
      <c r="B5" s="15">
        <v>7088796</v>
      </c>
      <c r="C5" s="16">
        <v>7920484</v>
      </c>
      <c r="D5" s="14">
        <f aca="true" t="shared" si="0" ref="D5:D34">B5-C5</f>
        <v>-831688</v>
      </c>
    </row>
    <row r="6" spans="1:4" ht="12.75">
      <c r="A6" s="62" t="s">
        <v>127</v>
      </c>
      <c r="B6" s="15">
        <v>7429030</v>
      </c>
      <c r="C6" s="16">
        <v>7540337</v>
      </c>
      <c r="D6" s="14">
        <f t="shared" si="0"/>
        <v>-111307</v>
      </c>
    </row>
    <row r="7" spans="1:4" ht="12.75">
      <c r="A7" s="62" t="s">
        <v>23</v>
      </c>
      <c r="B7" s="15">
        <v>1378820</v>
      </c>
      <c r="C7" s="16">
        <v>1542861</v>
      </c>
      <c r="D7" s="14">
        <f t="shared" si="0"/>
        <v>-164041</v>
      </c>
    </row>
    <row r="8" spans="1:4" ht="12.75">
      <c r="A8" s="62" t="s">
        <v>24</v>
      </c>
      <c r="B8" s="15">
        <v>1634481</v>
      </c>
      <c r="C8" s="16">
        <v>1978324</v>
      </c>
      <c r="D8" s="14">
        <f t="shared" si="0"/>
        <v>-343843</v>
      </c>
    </row>
    <row r="9" spans="1:4" ht="12.75">
      <c r="A9" s="62" t="s">
        <v>25</v>
      </c>
      <c r="B9" s="15">
        <v>10532040</v>
      </c>
      <c r="C9" s="16">
        <v>11222605</v>
      </c>
      <c r="D9" s="14">
        <f t="shared" si="0"/>
        <v>-690565</v>
      </c>
    </row>
    <row r="10" spans="1:4" ht="12.75">
      <c r="A10" s="62" t="s">
        <v>26</v>
      </c>
      <c r="B10" s="15">
        <v>22335086</v>
      </c>
      <c r="C10" s="16">
        <v>23962260</v>
      </c>
      <c r="D10" s="14">
        <f t="shared" si="0"/>
        <v>-1627174</v>
      </c>
    </row>
    <row r="11" spans="1:4" ht="12.75">
      <c r="A11" s="62" t="s">
        <v>27</v>
      </c>
      <c r="B11" s="15">
        <v>6802947</v>
      </c>
      <c r="C11" s="16">
        <v>7966115</v>
      </c>
      <c r="D11" s="14">
        <f t="shared" si="0"/>
        <v>-1163168</v>
      </c>
    </row>
    <row r="12" spans="1:4" ht="12.75">
      <c r="A12" s="62" t="s">
        <v>28</v>
      </c>
      <c r="B12" s="15">
        <v>5876889</v>
      </c>
      <c r="C12" s="16">
        <v>5829849</v>
      </c>
      <c r="D12" s="14">
        <f t="shared" si="0"/>
        <v>47040</v>
      </c>
    </row>
    <row r="13" spans="1:4" ht="12.75">
      <c r="A13" s="62" t="s">
        <v>128</v>
      </c>
      <c r="B13" s="15">
        <v>9115978</v>
      </c>
      <c r="C13" s="16">
        <v>9698977</v>
      </c>
      <c r="D13" s="14">
        <f t="shared" si="0"/>
        <v>-582999</v>
      </c>
    </row>
    <row r="14" spans="1:4" ht="12.75">
      <c r="A14" s="62" t="s">
        <v>31</v>
      </c>
      <c r="B14" s="15">
        <v>22916855</v>
      </c>
      <c r="C14" s="16">
        <v>23030229</v>
      </c>
      <c r="D14" s="14">
        <f t="shared" si="0"/>
        <v>-113374</v>
      </c>
    </row>
    <row r="15" spans="1:4" ht="12.75">
      <c r="A15" s="62" t="s">
        <v>129</v>
      </c>
      <c r="B15" s="15">
        <v>5222285</v>
      </c>
      <c r="C15" s="16">
        <v>5627615</v>
      </c>
      <c r="D15" s="14">
        <f t="shared" si="0"/>
        <v>-405330</v>
      </c>
    </row>
    <row r="16" spans="1:4" ht="12.75">
      <c r="A16" s="62" t="s">
        <v>33</v>
      </c>
      <c r="B16" s="15">
        <v>8303137</v>
      </c>
      <c r="C16" s="16">
        <v>8290050</v>
      </c>
      <c r="D16" s="14">
        <f t="shared" si="0"/>
        <v>13087</v>
      </c>
    </row>
    <row r="17" spans="1:4" ht="12.75">
      <c r="A17" s="62" t="s">
        <v>34</v>
      </c>
      <c r="B17" s="15">
        <v>8360657</v>
      </c>
      <c r="C17" s="16">
        <v>8496533</v>
      </c>
      <c r="D17" s="14">
        <f t="shared" si="0"/>
        <v>-135876</v>
      </c>
    </row>
    <row r="18" spans="1:4" ht="12.75">
      <c r="A18" s="62" t="s">
        <v>130</v>
      </c>
      <c r="B18" s="15">
        <v>9182247</v>
      </c>
      <c r="C18" s="16">
        <v>9056012</v>
      </c>
      <c r="D18" s="14">
        <f t="shared" si="0"/>
        <v>126235</v>
      </c>
    </row>
    <row r="19" spans="1:4" ht="12.75">
      <c r="A19" s="62" t="s">
        <v>131</v>
      </c>
      <c r="B19" s="15">
        <v>7218704</v>
      </c>
      <c r="C19" s="16">
        <v>7470127</v>
      </c>
      <c r="D19" s="14">
        <f t="shared" si="0"/>
        <v>-251423</v>
      </c>
    </row>
    <row r="20" spans="1:4" ht="12.75">
      <c r="A20" s="62" t="s">
        <v>132</v>
      </c>
      <c r="B20" s="15">
        <v>4396765</v>
      </c>
      <c r="C20" s="16">
        <v>4396765</v>
      </c>
      <c r="D20" s="14">
        <f t="shared" si="0"/>
        <v>0</v>
      </c>
    </row>
    <row r="21" spans="1:4" ht="12.75">
      <c r="A21" s="62" t="s">
        <v>133</v>
      </c>
      <c r="B21" s="15">
        <v>8222772</v>
      </c>
      <c r="C21" s="16">
        <v>8968159</v>
      </c>
      <c r="D21" s="14">
        <f t="shared" si="0"/>
        <v>-745387</v>
      </c>
    </row>
    <row r="22" spans="1:4" ht="12.75">
      <c r="A22" s="62" t="s">
        <v>134</v>
      </c>
      <c r="B22" s="15">
        <v>282392</v>
      </c>
      <c r="C22" s="16">
        <v>389155</v>
      </c>
      <c r="D22" s="14">
        <f t="shared" si="0"/>
        <v>-106763</v>
      </c>
    </row>
    <row r="23" spans="1:4" ht="12.75">
      <c r="A23" s="62" t="s">
        <v>40</v>
      </c>
      <c r="B23" s="15">
        <v>3199887</v>
      </c>
      <c r="C23" s="16">
        <v>3264282</v>
      </c>
      <c r="D23" s="14">
        <f t="shared" si="0"/>
        <v>-64395</v>
      </c>
    </row>
    <row r="24" spans="1:4" ht="12.75">
      <c r="A24" s="62" t="s">
        <v>41</v>
      </c>
      <c r="B24" s="15">
        <v>2100913</v>
      </c>
      <c r="C24" s="16">
        <v>1990194</v>
      </c>
      <c r="D24" s="14">
        <f t="shared" si="0"/>
        <v>110719</v>
      </c>
    </row>
    <row r="25" spans="1:4" ht="12.75">
      <c r="A25" s="62" t="s">
        <v>43</v>
      </c>
      <c r="B25" s="15">
        <v>3860039</v>
      </c>
      <c r="C25" s="16">
        <v>3517858</v>
      </c>
      <c r="D25" s="14">
        <f t="shared" si="0"/>
        <v>342181</v>
      </c>
    </row>
    <row r="26" spans="1:4" ht="12.75">
      <c r="A26" s="62" t="s">
        <v>44</v>
      </c>
      <c r="B26" s="15">
        <v>8802452</v>
      </c>
      <c r="C26" s="16">
        <v>8724911</v>
      </c>
      <c r="D26" s="14">
        <f t="shared" si="0"/>
        <v>77541</v>
      </c>
    </row>
    <row r="27" spans="1:4" ht="12.75">
      <c r="A27" s="62" t="s">
        <v>45</v>
      </c>
      <c r="B27" s="15">
        <v>22757250</v>
      </c>
      <c r="C27" s="16">
        <v>25706994</v>
      </c>
      <c r="D27" s="14">
        <f t="shared" si="0"/>
        <v>-2949744</v>
      </c>
    </row>
    <row r="28" spans="1:4" ht="12.75">
      <c r="A28" s="62" t="s">
        <v>135</v>
      </c>
      <c r="B28" s="15">
        <v>1344402</v>
      </c>
      <c r="C28" s="16">
        <v>1309091</v>
      </c>
      <c r="D28" s="14">
        <f t="shared" si="0"/>
        <v>35311</v>
      </c>
    </row>
    <row r="29" spans="1:4" ht="12.75">
      <c r="A29" s="62" t="s">
        <v>136</v>
      </c>
      <c r="B29" s="15">
        <v>4818365</v>
      </c>
      <c r="C29" s="16">
        <v>4850440</v>
      </c>
      <c r="D29" s="14">
        <f t="shared" si="0"/>
        <v>-32075</v>
      </c>
    </row>
    <row r="30" spans="1:4" ht="12.75">
      <c r="A30" s="62" t="s">
        <v>48</v>
      </c>
      <c r="B30" s="15">
        <v>2038683</v>
      </c>
      <c r="C30" s="16">
        <v>2418662</v>
      </c>
      <c r="D30" s="14">
        <f t="shared" si="0"/>
        <v>-379979</v>
      </c>
    </row>
    <row r="31" spans="1:4" ht="12.75">
      <c r="A31" s="62" t="s">
        <v>30</v>
      </c>
      <c r="B31" s="15">
        <v>2967873</v>
      </c>
      <c r="C31" s="16">
        <v>2960906</v>
      </c>
      <c r="D31" s="14">
        <f t="shared" si="0"/>
        <v>6967</v>
      </c>
    </row>
    <row r="32" spans="1:4" ht="12.75">
      <c r="A32" s="62" t="s">
        <v>42</v>
      </c>
      <c r="B32" s="15">
        <v>1432771</v>
      </c>
      <c r="C32" s="16">
        <v>1563604</v>
      </c>
      <c r="D32" s="14">
        <f t="shared" si="0"/>
        <v>-130833</v>
      </c>
    </row>
    <row r="33" spans="1:4" ht="13.5" thickBot="1">
      <c r="A33" s="63" t="s">
        <v>137</v>
      </c>
      <c r="B33" s="17">
        <v>12507599</v>
      </c>
      <c r="C33" s="18">
        <v>12636273</v>
      </c>
      <c r="D33" s="19">
        <f t="shared" si="0"/>
        <v>-128674</v>
      </c>
    </row>
    <row r="34" spans="1:4" ht="16.5" thickBot="1">
      <c r="A34" s="20" t="s">
        <v>59</v>
      </c>
      <c r="B34" s="21">
        <f>SUM(B4:B33)</f>
        <v>213943821</v>
      </c>
      <c r="C34" s="21">
        <f>SUM(C4:C33)</f>
        <v>224149993</v>
      </c>
      <c r="D34" s="22">
        <f t="shared" si="0"/>
        <v>-10206172</v>
      </c>
    </row>
    <row r="37" ht="12.75">
      <c r="A37" s="23"/>
    </row>
  </sheetData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  <headerFooter alignWithMargins="0">
    <oddHeader>&amp;L1. zasedání 31. synodu ČCE&amp;RTISK č. 11 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zoomScale="75" zoomScaleNormal="75" workbookViewId="0" topLeftCell="A4">
      <selection activeCell="D10" sqref="D10"/>
    </sheetView>
  </sheetViews>
  <sheetFormatPr defaultColWidth="9.140625" defaultRowHeight="12.75"/>
  <cols>
    <col min="1" max="1" width="14.28125" style="1" customWidth="1"/>
    <col min="2" max="2" width="20.57421875" style="1" customWidth="1"/>
    <col min="3" max="3" width="15.140625" style="1" customWidth="1"/>
    <col min="4" max="4" width="13.00390625" style="1" customWidth="1"/>
    <col min="5" max="5" width="8.421875" style="1" customWidth="1"/>
    <col min="6" max="6" width="9.7109375" style="1" customWidth="1"/>
    <col min="7" max="7" width="17.8515625" style="1" customWidth="1"/>
    <col min="8" max="8" width="6.8515625" style="1" customWidth="1"/>
    <col min="9" max="9" width="9.7109375" style="1" customWidth="1"/>
    <col min="10" max="10" width="8.140625" style="1" customWidth="1"/>
    <col min="11" max="11" width="8.00390625" style="1" customWidth="1"/>
    <col min="12" max="12" width="9.7109375" style="1" customWidth="1"/>
    <col min="13" max="13" width="9.28125" style="1" customWidth="1"/>
    <col min="14" max="14" width="9.421875" style="1" customWidth="1"/>
    <col min="15" max="16384" width="9.140625" style="1" customWidth="1"/>
  </cols>
  <sheetData>
    <row r="1" ht="20.25">
      <c r="B1" s="95" t="s">
        <v>102</v>
      </c>
    </row>
    <row r="2" ht="20.25">
      <c r="B2" s="96"/>
    </row>
    <row r="3" ht="13.5" thickBot="1">
      <c r="C3" s="97" t="s">
        <v>64</v>
      </c>
    </row>
    <row r="4" spans="2:3" ht="15.75">
      <c r="B4" s="98" t="s">
        <v>65</v>
      </c>
      <c r="C4" s="99">
        <v>224150</v>
      </c>
    </row>
    <row r="5" spans="2:3" ht="15.75">
      <c r="B5" s="100" t="s">
        <v>66</v>
      </c>
      <c r="C5" s="101">
        <v>213944</v>
      </c>
    </row>
    <row r="6" spans="2:3" ht="16.5" thickBot="1">
      <c r="B6" s="102" t="s">
        <v>67</v>
      </c>
      <c r="C6" s="103">
        <f>C5-C4</f>
        <v>-10206</v>
      </c>
    </row>
    <row r="7" ht="12" customHeight="1"/>
    <row r="8" ht="18">
      <c r="B8" s="28" t="s">
        <v>101</v>
      </c>
    </row>
    <row r="9" spans="2:14" ht="12" customHeight="1" thickBot="1">
      <c r="B9" s="104"/>
      <c r="C9" s="104"/>
      <c r="E9" s="104"/>
      <c r="F9" s="104"/>
      <c r="G9" s="104"/>
      <c r="H9" s="104"/>
      <c r="I9" s="104"/>
      <c r="J9" s="104"/>
      <c r="K9" s="104"/>
      <c r="L9" s="104"/>
      <c r="M9" s="104"/>
      <c r="N9" s="104"/>
    </row>
    <row r="10" spans="1:7" ht="15" thickBot="1">
      <c r="A10" s="105" t="s">
        <v>69</v>
      </c>
      <c r="B10" s="106" t="s">
        <v>103</v>
      </c>
      <c r="C10" s="107" t="s">
        <v>71</v>
      </c>
      <c r="E10" s="108"/>
      <c r="F10" s="57"/>
      <c r="G10" s="57"/>
    </row>
    <row r="11" spans="1:7" ht="15.75">
      <c r="A11" s="109">
        <v>77801</v>
      </c>
      <c r="B11" s="110" t="s">
        <v>88</v>
      </c>
      <c r="C11" s="111">
        <f>A11/A20*100</f>
        <v>36.3652935594995</v>
      </c>
      <c r="E11" s="112">
        <v>1987</v>
      </c>
      <c r="F11" s="113" t="s">
        <v>94</v>
      </c>
      <c r="G11" s="114"/>
    </row>
    <row r="12" spans="1:7" ht="15.75">
      <c r="A12" s="115">
        <v>7458</v>
      </c>
      <c r="B12" s="116" t="s">
        <v>95</v>
      </c>
      <c r="C12" s="117">
        <f>A12/A20*100</f>
        <v>3.485975236394741</v>
      </c>
      <c r="E12" s="112">
        <v>614</v>
      </c>
      <c r="F12" s="118" t="s">
        <v>93</v>
      </c>
      <c r="G12" s="119"/>
    </row>
    <row r="13" spans="1:7" ht="15.75">
      <c r="A13" s="115">
        <v>18105</v>
      </c>
      <c r="B13" s="116" t="s">
        <v>92</v>
      </c>
      <c r="C13" s="117">
        <f>A13/A20*100</f>
        <v>8.462534413371786</v>
      </c>
      <c r="E13" s="118">
        <v>380</v>
      </c>
      <c r="F13" s="110" t="s">
        <v>91</v>
      </c>
      <c r="G13" s="120"/>
    </row>
    <row r="14" spans="1:14" s="57" customFormat="1" ht="15.75">
      <c r="A14" s="115">
        <v>10113</v>
      </c>
      <c r="B14" s="116" t="s">
        <v>96</v>
      </c>
      <c r="C14" s="117">
        <f>A14/A20*100</f>
        <v>4.726959984668814</v>
      </c>
      <c r="E14" s="121">
        <v>2020</v>
      </c>
      <c r="F14" s="113" t="s">
        <v>99</v>
      </c>
      <c r="G14" s="120"/>
      <c r="H14" s="122"/>
      <c r="I14" s="122"/>
      <c r="J14" s="122"/>
      <c r="K14" s="122"/>
      <c r="L14" s="122"/>
      <c r="M14" s="122"/>
      <c r="N14" s="122"/>
    </row>
    <row r="15" spans="1:14" s="57" customFormat="1" ht="15.75">
      <c r="A15" s="115">
        <v>4930</v>
      </c>
      <c r="B15" s="116" t="s">
        <v>89</v>
      </c>
      <c r="C15" s="117">
        <f>A15/A20*100</f>
        <v>2.3043520937819886</v>
      </c>
      <c r="E15" s="121">
        <v>10269</v>
      </c>
      <c r="F15" s="113" t="s">
        <v>100</v>
      </c>
      <c r="G15" s="120"/>
      <c r="H15" s="122"/>
      <c r="I15" s="122"/>
      <c r="J15" s="122"/>
      <c r="K15" s="122"/>
      <c r="L15" s="122"/>
      <c r="M15" s="122"/>
      <c r="N15" s="122"/>
    </row>
    <row r="16" spans="1:14" s="57" customFormat="1" ht="15.75">
      <c r="A16" s="115">
        <v>11310</v>
      </c>
      <c r="B16" s="116" t="s">
        <v>87</v>
      </c>
      <c r="C16" s="117">
        <f>A16/A20*100</f>
        <v>5.28645480338221</v>
      </c>
      <c r="E16" s="123" t="s">
        <v>338</v>
      </c>
      <c r="F16" s="124"/>
      <c r="G16" s="125"/>
      <c r="H16" s="122"/>
      <c r="I16" s="122"/>
      <c r="J16" s="122"/>
      <c r="K16" s="122"/>
      <c r="L16" s="122"/>
      <c r="M16" s="122"/>
      <c r="N16" s="122"/>
    </row>
    <row r="17" spans="1:14" s="57" customFormat="1" ht="15.75">
      <c r="A17" s="115">
        <v>57541</v>
      </c>
      <c r="B17" s="116" t="s">
        <v>98</v>
      </c>
      <c r="C17" s="117">
        <f>A17/A20*100</f>
        <v>26.895481506756475</v>
      </c>
      <c r="F17" s="122"/>
      <c r="G17" s="122"/>
      <c r="H17" s="122"/>
      <c r="I17" s="122"/>
      <c r="J17" s="122"/>
      <c r="K17" s="122"/>
      <c r="L17" s="122"/>
      <c r="M17" s="122"/>
      <c r="N17" s="122"/>
    </row>
    <row r="18" spans="1:14" s="57" customFormat="1" ht="15.75">
      <c r="A18" s="115">
        <v>11415</v>
      </c>
      <c r="B18" s="116" t="s">
        <v>97</v>
      </c>
      <c r="C18" s="117">
        <f>A18/A20*100</f>
        <v>5.335533296251806</v>
      </c>
      <c r="F18" s="122" t="s">
        <v>329</v>
      </c>
      <c r="G18" s="122"/>
      <c r="H18" s="122"/>
      <c r="I18" s="122"/>
      <c r="J18" s="122"/>
      <c r="K18" s="122"/>
      <c r="L18" s="122"/>
      <c r="M18" s="122"/>
      <c r="N18" s="122"/>
    </row>
    <row r="19" spans="1:10" s="57" customFormat="1" ht="16.5" thickBot="1">
      <c r="A19" s="126">
        <v>15270</v>
      </c>
      <c r="B19" s="127" t="s">
        <v>90</v>
      </c>
      <c r="C19" s="128">
        <f>A19/A20*100</f>
        <v>7.137415105892692</v>
      </c>
      <c r="J19" s="129"/>
    </row>
    <row r="20" spans="1:3" s="57" customFormat="1" ht="16.5" thickBot="1">
      <c r="A20" s="130">
        <f>SUM(A11:A19)</f>
        <v>213943</v>
      </c>
      <c r="B20" s="131" t="s">
        <v>83</v>
      </c>
      <c r="C20" s="132">
        <f>SUM(C11:C19)</f>
        <v>100.00000000000001</v>
      </c>
    </row>
    <row r="21" spans="3:4" s="57" customFormat="1" ht="9.75" customHeight="1">
      <c r="C21" s="133"/>
      <c r="D21" s="122"/>
    </row>
    <row r="22" s="57" customFormat="1" ht="12.75">
      <c r="D22" s="122"/>
    </row>
    <row r="23" spans="3:14" s="57" customFormat="1" ht="12.75">
      <c r="C23" s="133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</row>
    <row r="24" spans="3:14" s="57" customFormat="1" ht="12.75">
      <c r="C24" s="133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</row>
    <row r="25" spans="3:14" s="57" customFormat="1" ht="12.75">
      <c r="C25" s="133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</row>
    <row r="26" spans="3:14" s="57" customFormat="1" ht="12.75">
      <c r="C26" s="133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</row>
    <row r="27" spans="3:14" s="57" customFormat="1" ht="12.75">
      <c r="C27" s="133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</row>
    <row r="28" spans="3:14" s="57" customFormat="1" ht="12.75">
      <c r="C28" s="133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</row>
    <row r="29" spans="3:14" s="57" customFormat="1" ht="12.75">
      <c r="C29" s="133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</row>
    <row r="30" spans="3:14" s="57" customFormat="1" ht="12.75">
      <c r="C30" s="133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</row>
    <row r="31" spans="3:14" s="57" customFormat="1" ht="12.75">
      <c r="C31" s="133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</row>
    <row r="32" spans="3:14" s="57" customFormat="1" ht="12.75">
      <c r="C32" s="133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</row>
    <row r="33" spans="3:14" s="57" customFormat="1" ht="12.75">
      <c r="C33" s="133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</row>
    <row r="34" spans="3:14" s="57" customFormat="1" ht="12.75">
      <c r="C34" s="133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</row>
    <row r="35" spans="3:14" s="57" customFormat="1" ht="12.75">
      <c r="C35" s="133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</row>
    <row r="36" spans="3:14" s="57" customFormat="1" ht="12.75">
      <c r="C36" s="133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</row>
    <row r="37" spans="3:14" s="57" customFormat="1" ht="12.75">
      <c r="C37" s="133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</row>
    <row r="38" s="57" customFormat="1" ht="12.75"/>
    <row r="47" ht="12.75">
      <c r="A47" s="1" t="s">
        <v>84</v>
      </c>
    </row>
    <row r="48" ht="12.75">
      <c r="A48" s="1" t="s">
        <v>85</v>
      </c>
    </row>
    <row r="49" ht="15">
      <c r="A49" s="134" t="s">
        <v>86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&amp;L1. zasedání 31. synodu ČCE &amp;RTISK č. 11 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="75" zoomScaleNormal="75" workbookViewId="0" topLeftCell="A1">
      <selection activeCell="C30" sqref="C30"/>
    </sheetView>
  </sheetViews>
  <sheetFormatPr defaultColWidth="9.140625" defaultRowHeight="12.75"/>
  <cols>
    <col min="1" max="1" width="14.28125" style="1" customWidth="1"/>
    <col min="2" max="2" width="20.57421875" style="1" customWidth="1"/>
    <col min="3" max="3" width="15.140625" style="1" customWidth="1"/>
    <col min="4" max="4" width="13.00390625" style="1" customWidth="1"/>
    <col min="5" max="5" width="8.421875" style="1" customWidth="1"/>
    <col min="6" max="6" width="9.7109375" style="1" customWidth="1"/>
    <col min="7" max="7" width="17.8515625" style="1" customWidth="1"/>
    <col min="8" max="8" width="6.8515625" style="1" customWidth="1"/>
    <col min="9" max="9" width="9.7109375" style="1" customWidth="1"/>
    <col min="10" max="10" width="8.140625" style="1" customWidth="1"/>
    <col min="11" max="11" width="8.00390625" style="1" customWidth="1"/>
    <col min="12" max="12" width="9.7109375" style="1" customWidth="1"/>
    <col min="13" max="13" width="9.28125" style="1" customWidth="1"/>
    <col min="14" max="14" width="9.421875" style="1" customWidth="1"/>
    <col min="15" max="16384" width="9.140625" style="1" customWidth="1"/>
  </cols>
  <sheetData>
    <row r="1" spans="2:14" ht="20.25">
      <c r="B1" s="95" t="s">
        <v>102</v>
      </c>
      <c r="N1" s="4" t="s">
        <v>345</v>
      </c>
    </row>
    <row r="2" ht="20.25">
      <c r="B2" s="96"/>
    </row>
    <row r="3" ht="13.5" thickBot="1">
      <c r="C3" s="97" t="s">
        <v>64</v>
      </c>
    </row>
    <row r="4" spans="2:3" ht="15.75">
      <c r="B4" s="98" t="s">
        <v>65</v>
      </c>
      <c r="C4" s="99">
        <v>224150</v>
      </c>
    </row>
    <row r="5" spans="2:3" ht="15.75">
      <c r="B5" s="100" t="s">
        <v>66</v>
      </c>
      <c r="C5" s="101">
        <v>213944</v>
      </c>
    </row>
    <row r="6" spans="2:3" ht="16.5" thickBot="1">
      <c r="B6" s="102" t="s">
        <v>67</v>
      </c>
      <c r="C6" s="103">
        <f>C5-C4</f>
        <v>-10206</v>
      </c>
    </row>
    <row r="7" ht="12" customHeight="1"/>
    <row r="8" ht="18">
      <c r="B8" s="28" t="s">
        <v>101</v>
      </c>
    </row>
    <row r="9" spans="2:14" ht="12" customHeight="1" thickBot="1">
      <c r="B9" s="104"/>
      <c r="C9" s="104"/>
      <c r="E9" s="104"/>
      <c r="F9" s="104"/>
      <c r="G9" s="104"/>
      <c r="H9" s="104"/>
      <c r="I9" s="104"/>
      <c r="J9" s="104"/>
      <c r="K9" s="104"/>
      <c r="L9" s="104"/>
      <c r="M9" s="104"/>
      <c r="N9" s="104"/>
    </row>
    <row r="10" spans="1:7" ht="15" thickBot="1">
      <c r="A10" s="105" t="s">
        <v>69</v>
      </c>
      <c r="B10" s="106" t="s">
        <v>103</v>
      </c>
      <c r="C10" s="107" t="s">
        <v>71</v>
      </c>
      <c r="E10" s="108"/>
      <c r="F10" s="57"/>
      <c r="G10" s="57"/>
    </row>
    <row r="11" spans="1:7" ht="15.75">
      <c r="A11" s="109">
        <v>77801</v>
      </c>
      <c r="B11" s="110" t="s">
        <v>88</v>
      </c>
      <c r="C11" s="111">
        <f>A11/A20*100</f>
        <v>36.3652935594995</v>
      </c>
      <c r="E11" s="57"/>
      <c r="F11" s="57"/>
      <c r="G11" s="57"/>
    </row>
    <row r="12" spans="1:3" ht="15.75">
      <c r="A12" s="115">
        <v>7458</v>
      </c>
      <c r="B12" s="116" t="s">
        <v>95</v>
      </c>
      <c r="C12" s="117">
        <f>A12/A20*100</f>
        <v>3.485975236394741</v>
      </c>
    </row>
    <row r="13" spans="1:3" ht="15.75">
      <c r="A13" s="115">
        <v>18105</v>
      </c>
      <c r="B13" s="116" t="s">
        <v>92</v>
      </c>
      <c r="C13" s="117">
        <f>A13/A20*100</f>
        <v>8.462534413371786</v>
      </c>
    </row>
    <row r="14" spans="1:14" s="57" customFormat="1" ht="15.75">
      <c r="A14" s="115">
        <v>10113</v>
      </c>
      <c r="B14" s="116" t="s">
        <v>96</v>
      </c>
      <c r="C14" s="117">
        <f>A14/A20*100</f>
        <v>4.726959984668814</v>
      </c>
      <c r="H14" s="122"/>
      <c r="I14" s="122"/>
      <c r="J14" s="122"/>
      <c r="K14" s="122"/>
      <c r="L14" s="122"/>
      <c r="M14" s="122"/>
      <c r="N14" s="122"/>
    </row>
    <row r="15" spans="1:14" s="57" customFormat="1" ht="15.75">
      <c r="A15" s="115">
        <v>4930</v>
      </c>
      <c r="B15" s="116" t="s">
        <v>89</v>
      </c>
      <c r="C15" s="117">
        <f>A15/A20*100</f>
        <v>2.3043520937819886</v>
      </c>
      <c r="H15" s="122"/>
      <c r="I15" s="122"/>
      <c r="J15" s="122"/>
      <c r="K15" s="122"/>
      <c r="L15" s="122"/>
      <c r="M15" s="122"/>
      <c r="N15" s="122"/>
    </row>
    <row r="16" spans="1:14" s="57" customFormat="1" ht="15.75">
      <c r="A16" s="115">
        <v>11310</v>
      </c>
      <c r="B16" s="116" t="s">
        <v>87</v>
      </c>
      <c r="C16" s="117">
        <f>A16/A20*100</f>
        <v>5.28645480338221</v>
      </c>
      <c r="H16" s="122"/>
      <c r="I16" s="122"/>
      <c r="J16" s="122"/>
      <c r="K16" s="122"/>
      <c r="L16" s="122"/>
      <c r="M16" s="122"/>
      <c r="N16" s="122"/>
    </row>
    <row r="17" spans="1:14" s="57" customFormat="1" ht="15.75">
      <c r="A17" s="115">
        <v>57541</v>
      </c>
      <c r="B17" s="116" t="s">
        <v>98</v>
      </c>
      <c r="C17" s="117">
        <f>A17/A20*100</f>
        <v>26.895481506756475</v>
      </c>
      <c r="F17" s="122"/>
      <c r="G17" s="122"/>
      <c r="H17" s="122"/>
      <c r="I17" s="122"/>
      <c r="J17" s="122"/>
      <c r="K17" s="122"/>
      <c r="L17" s="122"/>
      <c r="M17" s="122"/>
      <c r="N17" s="122"/>
    </row>
    <row r="18" spans="1:14" s="57" customFormat="1" ht="15.75">
      <c r="A18" s="115">
        <v>11415</v>
      </c>
      <c r="B18" s="116" t="s">
        <v>97</v>
      </c>
      <c r="C18" s="117">
        <f>A18/A20*100</f>
        <v>5.335533296251806</v>
      </c>
      <c r="F18" s="122"/>
      <c r="G18" s="122"/>
      <c r="H18" s="122"/>
      <c r="I18" s="122"/>
      <c r="J18" s="122"/>
      <c r="K18" s="122"/>
      <c r="L18" s="122"/>
      <c r="M18" s="122"/>
      <c r="N18" s="122"/>
    </row>
    <row r="19" spans="1:10" s="57" customFormat="1" ht="16.5" thickBot="1">
      <c r="A19" s="126">
        <v>15270</v>
      </c>
      <c r="B19" s="127" t="s">
        <v>90</v>
      </c>
      <c r="C19" s="128">
        <f>A19/A20*100</f>
        <v>7.137415105892692</v>
      </c>
      <c r="J19" s="129"/>
    </row>
    <row r="20" spans="1:3" s="57" customFormat="1" ht="16.5" thickBot="1">
      <c r="A20" s="130">
        <f>SUM(A11:A19)</f>
        <v>213943</v>
      </c>
      <c r="B20" s="131" t="s">
        <v>83</v>
      </c>
      <c r="C20" s="132">
        <f>SUM(C11:C19)</f>
        <v>100.00000000000001</v>
      </c>
    </row>
    <row r="21" spans="1:4" s="57" customFormat="1" ht="9.75" customHeight="1">
      <c r="A21" s="134"/>
      <c r="B21" s="1"/>
      <c r="C21" s="1"/>
      <c r="D21" s="122"/>
    </row>
    <row r="22" spans="1:3" s="57" customFormat="1" ht="15">
      <c r="A22" s="112">
        <v>1987</v>
      </c>
      <c r="B22" s="149" t="s">
        <v>94</v>
      </c>
      <c r="C22" s="119"/>
    </row>
    <row r="23" spans="1:14" s="57" customFormat="1" ht="15">
      <c r="A23" s="121">
        <v>614</v>
      </c>
      <c r="B23" s="144" t="s">
        <v>93</v>
      </c>
      <c r="C23" s="145"/>
      <c r="E23" s="122"/>
      <c r="F23" s="122"/>
      <c r="G23" s="122"/>
      <c r="H23" s="122"/>
      <c r="I23" s="122"/>
      <c r="J23" s="122"/>
      <c r="K23" s="122"/>
      <c r="L23" s="122"/>
      <c r="M23" s="122"/>
      <c r="N23" s="122"/>
    </row>
    <row r="24" spans="1:14" s="57" customFormat="1" ht="15">
      <c r="A24" s="118">
        <v>380</v>
      </c>
      <c r="B24" s="150" t="s">
        <v>91</v>
      </c>
      <c r="C24" s="120"/>
      <c r="E24" s="122"/>
      <c r="F24" s="122"/>
      <c r="G24" s="122"/>
      <c r="H24" s="122"/>
      <c r="I24" s="122"/>
      <c r="J24" s="122"/>
      <c r="K24" s="122"/>
      <c r="L24" s="122"/>
      <c r="M24" s="122"/>
      <c r="N24" s="122"/>
    </row>
    <row r="25" spans="1:14" s="57" customFormat="1" ht="15">
      <c r="A25" s="121">
        <v>2020</v>
      </c>
      <c r="B25" s="151" t="s">
        <v>99</v>
      </c>
      <c r="C25" s="152"/>
      <c r="E25" s="122"/>
      <c r="F25" s="122"/>
      <c r="G25" s="122"/>
      <c r="H25" s="122"/>
      <c r="I25" s="122"/>
      <c r="J25" s="122"/>
      <c r="K25" s="122"/>
      <c r="L25" s="122"/>
      <c r="M25" s="122"/>
      <c r="N25" s="122"/>
    </row>
    <row r="26" spans="1:14" s="57" customFormat="1" ht="15">
      <c r="A26" s="292">
        <v>10269</v>
      </c>
      <c r="B26" s="144" t="s">
        <v>100</v>
      </c>
      <c r="C26" s="145"/>
      <c r="E26" s="122"/>
      <c r="F26" s="122"/>
      <c r="G26" s="122"/>
      <c r="H26" s="122"/>
      <c r="I26" s="122"/>
      <c r="J26" s="122"/>
      <c r="K26" s="122"/>
      <c r="L26" s="122"/>
      <c r="M26" s="122"/>
      <c r="N26" s="122"/>
    </row>
    <row r="27" spans="1:14" s="57" customFormat="1" ht="15">
      <c r="A27" s="143" t="s">
        <v>338</v>
      </c>
      <c r="B27" s="147"/>
      <c r="C27" s="148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</row>
    <row r="28" spans="3:14" s="57" customFormat="1" ht="12.75">
      <c r="C28" s="133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</row>
    <row r="29" spans="4:14" s="57" customFormat="1" ht="12.75">
      <c r="D29" s="1"/>
      <c r="E29" s="1"/>
      <c r="F29" s="1"/>
      <c r="G29" s="1"/>
      <c r="I29" s="122"/>
      <c r="J29" s="122"/>
      <c r="K29" s="122"/>
      <c r="L29" s="122"/>
      <c r="M29" s="122"/>
      <c r="N29" s="122"/>
    </row>
    <row r="30" spans="4:14" s="57" customFormat="1" ht="12.75">
      <c r="D30" s="1"/>
      <c r="E30" s="1"/>
      <c r="F30" s="1"/>
      <c r="G30" s="1"/>
      <c r="I30" s="122"/>
      <c r="J30" s="122"/>
      <c r="K30" s="122"/>
      <c r="L30" s="122"/>
      <c r="M30" s="122"/>
      <c r="N30" s="122"/>
    </row>
    <row r="31" spans="4:14" s="57" customFormat="1" ht="12.75">
      <c r="D31" s="1"/>
      <c r="E31" s="1"/>
      <c r="F31" s="1"/>
      <c r="G31" s="1"/>
      <c r="I31" s="122"/>
      <c r="J31" s="122"/>
      <c r="K31" s="122"/>
      <c r="L31" s="122"/>
      <c r="M31" s="122"/>
      <c r="N31" s="122"/>
    </row>
    <row r="32" spans="1:14" s="57" customFormat="1" ht="20.25">
      <c r="A32" s="1"/>
      <c r="B32" s="95" t="s">
        <v>63</v>
      </c>
      <c r="C32" s="1"/>
      <c r="D32" s="1"/>
      <c r="E32" s="1"/>
      <c r="F32" s="1"/>
      <c r="G32" s="1"/>
      <c r="I32" s="122"/>
      <c r="J32" s="122"/>
      <c r="K32" s="122"/>
      <c r="L32" s="122"/>
      <c r="M32" s="122"/>
      <c r="N32" s="122"/>
    </row>
    <row r="33" spans="1:14" s="57" customFormat="1" ht="20.25">
      <c r="A33" s="1"/>
      <c r="B33" s="96"/>
      <c r="C33" s="1"/>
      <c r="D33" s="1"/>
      <c r="E33" s="1"/>
      <c r="F33" s="1"/>
      <c r="G33" s="1"/>
      <c r="I33" s="122"/>
      <c r="J33" s="122"/>
      <c r="K33" s="122"/>
      <c r="L33" s="122"/>
      <c r="M33" s="122"/>
      <c r="N33" s="122"/>
    </row>
    <row r="34" spans="1:14" s="57" customFormat="1" ht="13.5" thickBot="1">
      <c r="A34" s="1"/>
      <c r="B34" s="1"/>
      <c r="C34" s="97" t="s">
        <v>64</v>
      </c>
      <c r="D34" s="1"/>
      <c r="E34" s="1"/>
      <c r="F34" s="1"/>
      <c r="G34" s="1"/>
      <c r="I34" s="122"/>
      <c r="J34" s="122"/>
      <c r="K34" s="122"/>
      <c r="L34" s="122"/>
      <c r="M34" s="122"/>
      <c r="N34" s="122"/>
    </row>
    <row r="35" spans="1:14" s="57" customFormat="1" ht="15.75">
      <c r="A35" s="1"/>
      <c r="B35" s="98" t="s">
        <v>65</v>
      </c>
      <c r="C35" s="99">
        <v>224150</v>
      </c>
      <c r="D35" s="1"/>
      <c r="E35" s="1"/>
      <c r="F35" s="1"/>
      <c r="G35" s="1"/>
      <c r="I35" s="122"/>
      <c r="J35" s="122"/>
      <c r="K35" s="122"/>
      <c r="L35" s="122"/>
      <c r="M35" s="122"/>
      <c r="N35" s="122"/>
    </row>
    <row r="36" spans="1:14" s="57" customFormat="1" ht="15.75">
      <c r="A36" s="1"/>
      <c r="B36" s="100" t="s">
        <v>66</v>
      </c>
      <c r="C36" s="101">
        <v>213944</v>
      </c>
      <c r="D36" s="1"/>
      <c r="E36" s="1"/>
      <c r="F36" s="1"/>
      <c r="G36" s="1"/>
      <c r="I36" s="122"/>
      <c r="J36" s="122"/>
      <c r="K36" s="122"/>
      <c r="L36" s="122"/>
      <c r="M36" s="122"/>
      <c r="N36" s="122"/>
    </row>
    <row r="37" spans="1:14" s="57" customFormat="1" ht="16.5" thickBot="1">
      <c r="A37" s="1"/>
      <c r="B37" s="102" t="s">
        <v>67</v>
      </c>
      <c r="C37" s="103">
        <f>C36-C35</f>
        <v>-10206</v>
      </c>
      <c r="D37" s="1"/>
      <c r="E37" s="104"/>
      <c r="F37" s="104"/>
      <c r="G37" s="104"/>
      <c r="I37" s="122"/>
      <c r="J37" s="122"/>
      <c r="K37" s="122"/>
      <c r="L37" s="122"/>
      <c r="M37" s="122"/>
      <c r="N37" s="122"/>
    </row>
    <row r="38" spans="1:5" s="57" customFormat="1" ht="12.75">
      <c r="A38" s="1"/>
      <c r="B38" s="1"/>
      <c r="C38" s="1"/>
      <c r="D38" s="1"/>
      <c r="E38" s="108"/>
    </row>
    <row r="39" ht="18">
      <c r="B39" s="28" t="s">
        <v>68</v>
      </c>
    </row>
    <row r="40" spans="2:3" ht="13.5" thickBot="1">
      <c r="B40" s="104"/>
      <c r="C40" s="104"/>
    </row>
    <row r="41" spans="1:3" ht="15" thickBot="1">
      <c r="A41" s="105" t="s">
        <v>69</v>
      </c>
      <c r="B41" s="106" t="s">
        <v>70</v>
      </c>
      <c r="C41" s="107" t="s">
        <v>71</v>
      </c>
    </row>
    <row r="42" spans="1:4" ht="15.75">
      <c r="A42" s="109">
        <v>34519</v>
      </c>
      <c r="B42" s="135" t="s">
        <v>72</v>
      </c>
      <c r="C42" s="111">
        <f>A42/A51*100</f>
        <v>15.399955387017622</v>
      </c>
      <c r="D42" s="57"/>
    </row>
    <row r="43" spans="1:4" ht="15.75">
      <c r="A43" s="115">
        <v>91339</v>
      </c>
      <c r="B43" s="136" t="s">
        <v>73</v>
      </c>
      <c r="C43" s="117">
        <f>A43/A51*100</f>
        <v>40.74905197412447</v>
      </c>
      <c r="D43" s="57"/>
    </row>
    <row r="44" spans="1:4" ht="15.75">
      <c r="A44" s="115">
        <v>31771</v>
      </c>
      <c r="B44" s="136" t="s">
        <v>75</v>
      </c>
      <c r="C44" s="117">
        <f>A44/A51*100</f>
        <v>14.1739906312737</v>
      </c>
      <c r="D44" s="57"/>
    </row>
    <row r="45" spans="1:7" ht="15.75">
      <c r="A45" s="115">
        <v>2170</v>
      </c>
      <c r="B45" s="136" t="s">
        <v>77</v>
      </c>
      <c r="C45" s="117">
        <f>A45/A51*100</f>
        <v>0.9681017175998217</v>
      </c>
      <c r="D45" s="57"/>
      <c r="E45" s="57"/>
      <c r="F45" s="122"/>
      <c r="G45" s="122"/>
    </row>
    <row r="46" spans="1:7" ht="15.75">
      <c r="A46" s="115">
        <v>10296</v>
      </c>
      <c r="B46" s="136" t="s">
        <v>79</v>
      </c>
      <c r="C46" s="117">
        <f>A46/A51*100</f>
        <v>4.593352665625697</v>
      </c>
      <c r="D46" s="57"/>
      <c r="E46" s="57"/>
      <c r="F46" s="122" t="s">
        <v>329</v>
      </c>
      <c r="G46" s="122"/>
    </row>
    <row r="47" spans="1:7" ht="15.75">
      <c r="A47" s="115">
        <v>11249</v>
      </c>
      <c r="B47" s="136" t="s">
        <v>80</v>
      </c>
      <c r="C47" s="117">
        <f>A47/A51*100</f>
        <v>5.018514387686817</v>
      </c>
      <c r="D47" s="57"/>
      <c r="E47" s="57"/>
      <c r="F47" s="57"/>
      <c r="G47" s="57"/>
    </row>
    <row r="48" spans="1:7" ht="15.75">
      <c r="A48" s="115">
        <v>25705</v>
      </c>
      <c r="B48" s="136" t="s">
        <v>81</v>
      </c>
      <c r="C48" s="117">
        <f>A48/A51*100</f>
        <v>11.467767120231988</v>
      </c>
      <c r="D48" s="57"/>
      <c r="E48" s="57"/>
      <c r="F48" s="57"/>
      <c r="G48" s="57"/>
    </row>
    <row r="49" spans="1:3" ht="15.75">
      <c r="A49" s="115">
        <v>7893</v>
      </c>
      <c r="B49" s="136" t="s">
        <v>82</v>
      </c>
      <c r="C49" s="117">
        <f>A49/A51*100</f>
        <v>3.521302699085434</v>
      </c>
    </row>
    <row r="50" spans="1:3" ht="16.5" thickBot="1">
      <c r="A50" s="126">
        <v>9208</v>
      </c>
      <c r="B50" s="137" t="s">
        <v>78</v>
      </c>
      <c r="C50" s="128">
        <f>A50/A51*100</f>
        <v>4.10796341735445</v>
      </c>
    </row>
    <row r="51" spans="1:3" ht="16.5" thickBot="1">
      <c r="A51" s="130">
        <f>SUM(A42:A50)</f>
        <v>224150</v>
      </c>
      <c r="B51" s="131" t="s">
        <v>83</v>
      </c>
      <c r="C51" s="132">
        <f>SUM(C42:C50)</f>
        <v>100.00000000000001</v>
      </c>
    </row>
    <row r="52" spans="1:3" ht="12.75">
      <c r="A52" s="57"/>
      <c r="B52" s="57"/>
      <c r="C52" s="133"/>
    </row>
    <row r="53" spans="1:3" ht="15">
      <c r="A53" s="140">
        <v>485</v>
      </c>
      <c r="B53" s="139" t="s">
        <v>74</v>
      </c>
      <c r="C53" s="120"/>
    </row>
    <row r="54" spans="1:3" ht="15">
      <c r="A54" s="138">
        <v>1915</v>
      </c>
      <c r="B54" s="141" t="s">
        <v>76</v>
      </c>
      <c r="C54" s="142"/>
    </row>
    <row r="55" spans="1:3" ht="15">
      <c r="A55" s="140">
        <v>6808</v>
      </c>
      <c r="B55" s="139" t="s">
        <v>78</v>
      </c>
      <c r="C55" s="120"/>
    </row>
    <row r="56" spans="1:3" ht="15">
      <c r="A56" s="146">
        <f>SUM(A53:A55)</f>
        <v>9208</v>
      </c>
      <c r="B56" s="144" t="s">
        <v>59</v>
      </c>
      <c r="C56" s="145"/>
    </row>
    <row r="57" spans="1:3" ht="15">
      <c r="A57" s="143" t="s">
        <v>338</v>
      </c>
      <c r="B57" s="147"/>
      <c r="C57" s="148"/>
    </row>
  </sheetData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59" r:id="rId2"/>
  <headerFooter alignWithMargins="0">
    <oddHeader>&amp;L1. zasedání 31. synodu ČCE &amp;RTISK č. 11 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7"/>
  <sheetViews>
    <sheetView zoomScale="75" zoomScaleNormal="75" workbookViewId="0" topLeftCell="A106">
      <selection activeCell="K137" sqref="K137"/>
    </sheetView>
  </sheetViews>
  <sheetFormatPr defaultColWidth="9.140625" defaultRowHeight="12.75" outlineLevelRow="2"/>
  <cols>
    <col min="1" max="1" width="6.7109375" style="154" customWidth="1"/>
    <col min="2" max="2" width="9.28125" style="154" customWidth="1"/>
    <col min="3" max="3" width="25.8515625" style="154" customWidth="1"/>
    <col min="4" max="4" width="11.28125" style="155" customWidth="1"/>
    <col min="5" max="5" width="12.00390625" style="156" customWidth="1"/>
    <col min="6" max="6" width="9.28125" style="155" customWidth="1"/>
    <col min="7" max="7" width="12.140625" style="157" customWidth="1"/>
    <col min="8" max="8" width="12.28125" style="156" customWidth="1"/>
    <col min="9" max="9" width="8.57421875" style="154" customWidth="1"/>
    <col min="10" max="16384" width="9.140625" style="154" customWidth="1"/>
  </cols>
  <sheetData>
    <row r="1" spans="1:9" ht="13.5" customHeight="1">
      <c r="A1" s="153" t="s">
        <v>337</v>
      </c>
      <c r="I1" s="293" t="s">
        <v>348</v>
      </c>
    </row>
    <row r="2" ht="13.5" customHeight="1" thickBot="1"/>
    <row r="3" spans="1:8" ht="13.5" customHeight="1">
      <c r="A3" s="158"/>
      <c r="B3" s="159"/>
      <c r="C3" s="160"/>
      <c r="D3" s="161">
        <v>2002</v>
      </c>
      <c r="E3" s="162" t="s">
        <v>146</v>
      </c>
      <c r="F3" s="163" t="s">
        <v>147</v>
      </c>
      <c r="G3" s="164" t="s">
        <v>146</v>
      </c>
      <c r="H3" s="165" t="s">
        <v>146</v>
      </c>
    </row>
    <row r="4" spans="1:8" ht="13.5" customHeight="1" thickBot="1">
      <c r="A4" s="166" t="s">
        <v>148</v>
      </c>
      <c r="B4" s="167" t="s">
        <v>149</v>
      </c>
      <c r="C4" s="167" t="s">
        <v>150</v>
      </c>
      <c r="D4" s="168" t="s">
        <v>151</v>
      </c>
      <c r="E4" s="169" t="s">
        <v>152</v>
      </c>
      <c r="F4" s="170" t="s">
        <v>153</v>
      </c>
      <c r="G4" s="171" t="s">
        <v>154</v>
      </c>
      <c r="H4" s="172" t="s">
        <v>83</v>
      </c>
    </row>
    <row r="5" spans="1:8" ht="13.5" customHeight="1" hidden="1" outlineLevel="2">
      <c r="A5" s="173">
        <v>501</v>
      </c>
      <c r="B5" s="173">
        <v>100</v>
      </c>
      <c r="C5" s="174" t="s">
        <v>155</v>
      </c>
      <c r="D5" s="175"/>
      <c r="E5" s="176">
        <f aca="true" t="shared" si="0" ref="E5:E68">H5-G5</f>
        <v>3150</v>
      </c>
      <c r="F5" s="177"/>
      <c r="G5" s="178">
        <f>61542+224</f>
        <v>61766</v>
      </c>
      <c r="H5" s="179">
        <v>64916</v>
      </c>
    </row>
    <row r="6" spans="1:8" ht="13.5" customHeight="1" hidden="1" outlineLevel="2">
      <c r="A6" s="173">
        <v>501</v>
      </c>
      <c r="B6" s="173">
        <v>210</v>
      </c>
      <c r="C6" s="174" t="s">
        <v>156</v>
      </c>
      <c r="D6" s="175">
        <v>27000</v>
      </c>
      <c r="E6" s="176">
        <f t="shared" si="0"/>
        <v>28658</v>
      </c>
      <c r="F6" s="180">
        <f>E6/D6*100</f>
        <v>106.14074074074074</v>
      </c>
      <c r="G6" s="181"/>
      <c r="H6" s="182">
        <v>28658</v>
      </c>
    </row>
    <row r="7" spans="1:8" ht="13.5" customHeight="1" hidden="1" outlineLevel="2">
      <c r="A7" s="183">
        <v>501</v>
      </c>
      <c r="B7" s="183">
        <v>220</v>
      </c>
      <c r="C7" s="184" t="s">
        <v>157</v>
      </c>
      <c r="D7" s="175">
        <v>50000</v>
      </c>
      <c r="E7" s="176">
        <f t="shared" si="0"/>
        <v>61932</v>
      </c>
      <c r="F7" s="185">
        <f aca="true" t="shared" si="1" ref="F7:F16">(E7/D7*100)</f>
        <v>123.86399999999999</v>
      </c>
      <c r="G7" s="181"/>
      <c r="H7" s="186">
        <v>61932</v>
      </c>
    </row>
    <row r="8" spans="1:8" ht="13.5" customHeight="1" hidden="1" outlineLevel="2">
      <c r="A8" s="183">
        <v>501</v>
      </c>
      <c r="B8" s="183">
        <v>230</v>
      </c>
      <c r="C8" s="184" t="s">
        <v>158</v>
      </c>
      <c r="D8" s="175">
        <v>15000</v>
      </c>
      <c r="E8" s="176">
        <f t="shared" si="0"/>
        <v>22615</v>
      </c>
      <c r="F8" s="185">
        <f t="shared" si="1"/>
        <v>150.76666666666668</v>
      </c>
      <c r="G8" s="181"/>
      <c r="H8" s="186">
        <v>22615</v>
      </c>
    </row>
    <row r="9" spans="1:8" ht="13.5" customHeight="1" hidden="1" outlineLevel="2">
      <c r="A9" s="183">
        <v>501</v>
      </c>
      <c r="B9" s="183">
        <v>240</v>
      </c>
      <c r="C9" s="184" t="s">
        <v>159</v>
      </c>
      <c r="D9" s="175">
        <v>10000</v>
      </c>
      <c r="E9" s="176">
        <f t="shared" si="0"/>
        <v>9908</v>
      </c>
      <c r="F9" s="185">
        <f t="shared" si="1"/>
        <v>99.08</v>
      </c>
      <c r="G9" s="181"/>
      <c r="H9" s="186">
        <v>9908</v>
      </c>
    </row>
    <row r="10" spans="1:8" ht="13.5" customHeight="1" hidden="1" outlineLevel="2">
      <c r="A10" s="183">
        <v>501</v>
      </c>
      <c r="B10" s="183">
        <v>260</v>
      </c>
      <c r="C10" s="184" t="s">
        <v>160</v>
      </c>
      <c r="D10" s="175">
        <v>45000</v>
      </c>
      <c r="E10" s="176">
        <f t="shared" si="0"/>
        <v>53558</v>
      </c>
      <c r="F10" s="185">
        <f t="shared" si="1"/>
        <v>119.01777777777778</v>
      </c>
      <c r="G10" s="181">
        <v>1447</v>
      </c>
      <c r="H10" s="186">
        <v>55005</v>
      </c>
    </row>
    <row r="11" spans="1:8" ht="13.5" customHeight="1" hidden="1" outlineLevel="2">
      <c r="A11" s="183">
        <v>501</v>
      </c>
      <c r="B11" s="183">
        <v>270</v>
      </c>
      <c r="C11" s="184" t="s">
        <v>161</v>
      </c>
      <c r="D11" s="175">
        <v>2000</v>
      </c>
      <c r="E11" s="176">
        <f t="shared" si="0"/>
        <v>1356</v>
      </c>
      <c r="F11" s="185">
        <f t="shared" si="1"/>
        <v>67.80000000000001</v>
      </c>
      <c r="G11" s="181">
        <v>698</v>
      </c>
      <c r="H11" s="186">
        <v>2054</v>
      </c>
    </row>
    <row r="12" spans="1:8" ht="13.5" customHeight="1" hidden="1" outlineLevel="2">
      <c r="A12" s="183">
        <v>501</v>
      </c>
      <c r="B12" s="183">
        <v>400</v>
      </c>
      <c r="C12" s="184" t="s">
        <v>162</v>
      </c>
      <c r="D12" s="175">
        <v>30000</v>
      </c>
      <c r="E12" s="176">
        <f t="shared" si="0"/>
        <v>5810</v>
      </c>
      <c r="F12" s="185">
        <f t="shared" si="1"/>
        <v>19.366666666666667</v>
      </c>
      <c r="G12" s="181">
        <f>3515+51881</f>
        <v>55396</v>
      </c>
      <c r="H12" s="186">
        <v>61206</v>
      </c>
    </row>
    <row r="13" spans="1:8" ht="13.5" customHeight="1" hidden="1" outlineLevel="2">
      <c r="A13" s="183">
        <v>501</v>
      </c>
      <c r="B13" s="183">
        <v>500</v>
      </c>
      <c r="C13" s="187" t="s">
        <v>163</v>
      </c>
      <c r="D13" s="175">
        <v>50000</v>
      </c>
      <c r="E13" s="176">
        <f t="shared" si="0"/>
        <v>23833</v>
      </c>
      <c r="F13" s="185">
        <f t="shared" si="1"/>
        <v>47.666</v>
      </c>
      <c r="G13" s="181">
        <v>17533</v>
      </c>
      <c r="H13" s="186">
        <v>41366</v>
      </c>
    </row>
    <row r="14" spans="1:8" ht="13.5" customHeight="1" hidden="1" outlineLevel="2">
      <c r="A14" s="183">
        <v>501</v>
      </c>
      <c r="B14" s="183">
        <v>600</v>
      </c>
      <c r="C14" s="184" t="s">
        <v>164</v>
      </c>
      <c r="D14" s="175">
        <v>264500</v>
      </c>
      <c r="E14" s="176">
        <f t="shared" si="0"/>
        <v>94786</v>
      </c>
      <c r="F14" s="185">
        <f t="shared" si="1"/>
        <v>35.835916824196595</v>
      </c>
      <c r="G14" s="181">
        <v>1872860</v>
      </c>
      <c r="H14" s="186">
        <v>1967646</v>
      </c>
    </row>
    <row r="15" spans="1:8" ht="13.5" customHeight="1" hidden="1" outlineLevel="2">
      <c r="A15" s="183">
        <v>501</v>
      </c>
      <c r="B15" s="183" t="s">
        <v>165</v>
      </c>
      <c r="C15" s="184" t="s">
        <v>166</v>
      </c>
      <c r="D15" s="175">
        <v>65000</v>
      </c>
      <c r="E15" s="176">
        <f t="shared" si="0"/>
        <v>43248</v>
      </c>
      <c r="F15" s="185">
        <f t="shared" si="1"/>
        <v>66.53538461538461</v>
      </c>
      <c r="G15" s="181">
        <f>17532+6545+4989+2376+975</f>
        <v>32417</v>
      </c>
      <c r="H15" s="186">
        <f>30619+21809+5704+17533</f>
        <v>75665</v>
      </c>
    </row>
    <row r="16" spans="1:8" ht="13.5" customHeight="1" hidden="1" outlineLevel="2">
      <c r="A16" s="183">
        <v>501</v>
      </c>
      <c r="B16" s="183" t="s">
        <v>167</v>
      </c>
      <c r="C16" s="184" t="s">
        <v>168</v>
      </c>
      <c r="D16" s="175">
        <v>4000</v>
      </c>
      <c r="E16" s="176">
        <f t="shared" si="0"/>
        <v>3577</v>
      </c>
      <c r="F16" s="185">
        <f t="shared" si="1"/>
        <v>89.425</v>
      </c>
      <c r="G16" s="181"/>
      <c r="H16" s="186">
        <f>96+1431+1075+975</f>
        <v>3577</v>
      </c>
    </row>
    <row r="17" spans="1:8" ht="13.5" customHeight="1" hidden="1" outlineLevel="2">
      <c r="A17" s="183">
        <v>501</v>
      </c>
      <c r="B17" s="183">
        <v>810</v>
      </c>
      <c r="C17" s="184" t="s">
        <v>169</v>
      </c>
      <c r="D17" s="175"/>
      <c r="E17" s="176">
        <f t="shared" si="0"/>
        <v>173</v>
      </c>
      <c r="F17" s="185"/>
      <c r="G17" s="181">
        <v>41523</v>
      </c>
      <c r="H17" s="186">
        <v>41696</v>
      </c>
    </row>
    <row r="18" spans="1:8" ht="13.5" customHeight="1" hidden="1" outlineLevel="2">
      <c r="A18" s="183">
        <v>501</v>
      </c>
      <c r="B18" s="183">
        <v>820</v>
      </c>
      <c r="C18" s="184" t="s">
        <v>170</v>
      </c>
      <c r="D18" s="175"/>
      <c r="E18" s="176">
        <f t="shared" si="0"/>
        <v>0</v>
      </c>
      <c r="F18" s="185"/>
      <c r="G18" s="181">
        <v>56938</v>
      </c>
      <c r="H18" s="186">
        <v>56938</v>
      </c>
    </row>
    <row r="19" spans="1:8" ht="13.5" customHeight="1" hidden="1" outlineLevel="2">
      <c r="A19" s="183">
        <v>501</v>
      </c>
      <c r="B19" s="183">
        <v>830</v>
      </c>
      <c r="C19" s="184" t="s">
        <v>171</v>
      </c>
      <c r="D19" s="175">
        <v>8000</v>
      </c>
      <c r="E19" s="176">
        <f t="shared" si="0"/>
        <v>5918</v>
      </c>
      <c r="F19" s="185">
        <f>(E19/D19*100)</f>
        <v>73.97500000000001</v>
      </c>
      <c r="G19" s="181">
        <v>6199</v>
      </c>
      <c r="H19" s="186">
        <v>12117</v>
      </c>
    </row>
    <row r="20" spans="1:8" ht="13.5" customHeight="1" hidden="1" outlineLevel="2">
      <c r="A20" s="183">
        <v>501</v>
      </c>
      <c r="B20" s="183">
        <v>840</v>
      </c>
      <c r="C20" s="184" t="s">
        <v>172</v>
      </c>
      <c r="D20" s="175">
        <v>2000</v>
      </c>
      <c r="E20" s="176">
        <f t="shared" si="0"/>
        <v>2775</v>
      </c>
      <c r="F20" s="185">
        <f>(E20/D20*100)</f>
        <v>138.75</v>
      </c>
      <c r="G20" s="181">
        <v>3745</v>
      </c>
      <c r="H20" s="186">
        <v>6520</v>
      </c>
    </row>
    <row r="21" spans="1:8" ht="13.5" customHeight="1" hidden="1" outlineLevel="2">
      <c r="A21" s="183">
        <v>501</v>
      </c>
      <c r="B21" s="188">
        <v>910</v>
      </c>
      <c r="C21" s="184" t="s">
        <v>173</v>
      </c>
      <c r="D21" s="175"/>
      <c r="E21" s="176">
        <f t="shared" si="0"/>
        <v>2637</v>
      </c>
      <c r="F21" s="185"/>
      <c r="G21" s="181">
        <f>63335+8834+100</f>
        <v>72269</v>
      </c>
      <c r="H21" s="186">
        <f>63335+8834+2737</f>
        <v>74906</v>
      </c>
    </row>
    <row r="22" spans="1:8" ht="13.5" customHeight="1" hidden="1" outlineLevel="2">
      <c r="A22" s="183">
        <v>501</v>
      </c>
      <c r="B22" s="188">
        <v>900</v>
      </c>
      <c r="C22" s="184" t="s">
        <v>174</v>
      </c>
      <c r="D22" s="189">
        <v>20000</v>
      </c>
      <c r="E22" s="176">
        <f t="shared" si="0"/>
        <v>60234</v>
      </c>
      <c r="F22" s="185">
        <f aca="true" t="shared" si="2" ref="F22:F27">(E22/D22*100)</f>
        <v>301.16999999999996</v>
      </c>
      <c r="G22" s="181"/>
      <c r="H22" s="186">
        <v>60234</v>
      </c>
    </row>
    <row r="23" spans="1:8" s="196" customFormat="1" ht="15" customHeight="1" outlineLevel="1" collapsed="1">
      <c r="A23" s="190" t="s">
        <v>175</v>
      </c>
      <c r="B23" s="191"/>
      <c r="C23" s="192" t="s">
        <v>176</v>
      </c>
      <c r="D23" s="179">
        <v>592500</v>
      </c>
      <c r="E23" s="193">
        <f t="shared" si="0"/>
        <v>424168</v>
      </c>
      <c r="F23" s="185">
        <f t="shared" si="2"/>
        <v>71.5895358649789</v>
      </c>
      <c r="G23" s="194">
        <f>SUM(G5:G22)</f>
        <v>2222791</v>
      </c>
      <c r="H23" s="195">
        <f>SUBTOTAL(9,H5:H22)</f>
        <v>2646959</v>
      </c>
    </row>
    <row r="24" spans="1:8" ht="13.5" customHeight="1" hidden="1" outlineLevel="2">
      <c r="A24" s="183">
        <v>502</v>
      </c>
      <c r="B24" s="183">
        <v>100</v>
      </c>
      <c r="C24" s="192" t="s">
        <v>177</v>
      </c>
      <c r="D24" s="182">
        <v>45000</v>
      </c>
      <c r="E24" s="193">
        <f t="shared" si="0"/>
        <v>40124</v>
      </c>
      <c r="F24" s="185">
        <f t="shared" si="2"/>
        <v>89.16444444444444</v>
      </c>
      <c r="G24" s="181">
        <v>4142</v>
      </c>
      <c r="H24" s="186">
        <v>44266</v>
      </c>
    </row>
    <row r="25" spans="1:8" ht="13.5" customHeight="1" hidden="1" outlineLevel="2">
      <c r="A25" s="183">
        <v>502</v>
      </c>
      <c r="B25" s="183">
        <v>200</v>
      </c>
      <c r="C25" s="192" t="s">
        <v>178</v>
      </c>
      <c r="D25" s="182">
        <v>25000</v>
      </c>
      <c r="E25" s="193">
        <f t="shared" si="0"/>
        <v>20457</v>
      </c>
      <c r="F25" s="185">
        <f t="shared" si="2"/>
        <v>81.828</v>
      </c>
      <c r="G25" s="181"/>
      <c r="H25" s="186">
        <v>20457</v>
      </c>
    </row>
    <row r="26" spans="1:8" ht="13.5" customHeight="1" hidden="1" outlineLevel="2">
      <c r="A26" s="183">
        <v>502</v>
      </c>
      <c r="B26" s="183">
        <v>300</v>
      </c>
      <c r="C26" s="192" t="s">
        <v>179</v>
      </c>
      <c r="D26" s="182">
        <v>7000</v>
      </c>
      <c r="E26" s="193">
        <f t="shared" si="0"/>
        <v>3626</v>
      </c>
      <c r="F26" s="185">
        <f t="shared" si="2"/>
        <v>51.800000000000004</v>
      </c>
      <c r="G26" s="181"/>
      <c r="H26" s="186">
        <v>3626</v>
      </c>
    </row>
    <row r="27" spans="1:8" s="196" customFormat="1" ht="13.5" customHeight="1" outlineLevel="1" collapsed="1">
      <c r="A27" s="197" t="s">
        <v>180</v>
      </c>
      <c r="B27" s="191"/>
      <c r="C27" s="192" t="s">
        <v>181</v>
      </c>
      <c r="D27" s="182">
        <v>77000</v>
      </c>
      <c r="E27" s="193">
        <f t="shared" si="0"/>
        <v>64207</v>
      </c>
      <c r="F27" s="185">
        <f t="shared" si="2"/>
        <v>83.38571428571429</v>
      </c>
      <c r="G27" s="194">
        <f>SUM(G24:G26)</f>
        <v>4142</v>
      </c>
      <c r="H27" s="195">
        <f>SUBTOTAL(9,H24:H26)</f>
        <v>68349</v>
      </c>
    </row>
    <row r="28" spans="1:8" s="196" customFormat="1" ht="13.5" customHeight="1" outlineLevel="1">
      <c r="A28" s="198" t="s">
        <v>182</v>
      </c>
      <c r="B28" s="191"/>
      <c r="C28" s="192" t="s">
        <v>183</v>
      </c>
      <c r="D28" s="182"/>
      <c r="E28" s="193">
        <f t="shared" si="0"/>
        <v>17307</v>
      </c>
      <c r="F28" s="185"/>
      <c r="G28" s="199"/>
      <c r="H28" s="195">
        <v>17307</v>
      </c>
    </row>
    <row r="29" spans="1:8" ht="13.5" customHeight="1" hidden="1" outlineLevel="2">
      <c r="A29" s="183">
        <v>511</v>
      </c>
      <c r="B29" s="183">
        <v>100</v>
      </c>
      <c r="C29" s="192" t="s">
        <v>184</v>
      </c>
      <c r="D29" s="182">
        <v>100000</v>
      </c>
      <c r="E29" s="193">
        <f t="shared" si="0"/>
        <v>65703</v>
      </c>
      <c r="F29" s="185">
        <f aca="true" t="shared" si="3" ref="F29:F63">(E29/D29*100)</f>
        <v>65.703</v>
      </c>
      <c r="G29" s="181"/>
      <c r="H29" s="186">
        <v>65703</v>
      </c>
    </row>
    <row r="30" spans="1:8" ht="15" hidden="1" outlineLevel="2">
      <c r="A30" s="183">
        <v>511</v>
      </c>
      <c r="B30" s="183">
        <v>200</v>
      </c>
      <c r="C30" s="192" t="s">
        <v>185</v>
      </c>
      <c r="D30" s="182">
        <v>20000</v>
      </c>
      <c r="E30" s="193">
        <f t="shared" si="0"/>
        <v>22158</v>
      </c>
      <c r="F30" s="185">
        <f t="shared" si="3"/>
        <v>110.79</v>
      </c>
      <c r="G30" s="181"/>
      <c r="H30" s="186">
        <v>22158</v>
      </c>
    </row>
    <row r="31" spans="1:8" ht="13.5" customHeight="1" hidden="1" outlineLevel="2">
      <c r="A31" s="183">
        <v>511</v>
      </c>
      <c r="B31" s="183">
        <v>300</v>
      </c>
      <c r="C31" s="192" t="s">
        <v>186</v>
      </c>
      <c r="D31" s="182">
        <v>10000</v>
      </c>
      <c r="E31" s="193">
        <f t="shared" si="0"/>
        <v>6891</v>
      </c>
      <c r="F31" s="185">
        <f t="shared" si="3"/>
        <v>68.91000000000001</v>
      </c>
      <c r="G31" s="181"/>
      <c r="H31" s="186">
        <v>6891</v>
      </c>
    </row>
    <row r="32" spans="1:8" ht="13.5" customHeight="1" hidden="1" outlineLevel="2">
      <c r="A32" s="183">
        <v>511</v>
      </c>
      <c r="B32" s="183">
        <v>411</v>
      </c>
      <c r="C32" s="192" t="s">
        <v>187</v>
      </c>
      <c r="D32" s="182">
        <v>400000</v>
      </c>
      <c r="E32" s="193">
        <f t="shared" si="0"/>
        <v>317165</v>
      </c>
      <c r="F32" s="185">
        <f t="shared" si="3"/>
        <v>79.29125</v>
      </c>
      <c r="G32" s="181"/>
      <c r="H32" s="186">
        <v>317165</v>
      </c>
    </row>
    <row r="33" spans="1:8" ht="13.5" customHeight="1" hidden="1" outlineLevel="2">
      <c r="A33" s="183">
        <v>511</v>
      </c>
      <c r="B33" s="183">
        <v>412</v>
      </c>
      <c r="C33" s="192" t="s">
        <v>188</v>
      </c>
      <c r="D33" s="182">
        <v>650000</v>
      </c>
      <c r="E33" s="193">
        <f t="shared" si="0"/>
        <v>180297</v>
      </c>
      <c r="F33" s="185">
        <f t="shared" si="3"/>
        <v>27.738000000000003</v>
      </c>
      <c r="G33" s="181"/>
      <c r="H33" s="186">
        <v>180297</v>
      </c>
    </row>
    <row r="34" spans="1:8" ht="13.5" customHeight="1" hidden="1" outlineLevel="2">
      <c r="A34" s="183">
        <v>511</v>
      </c>
      <c r="B34" s="183">
        <v>500</v>
      </c>
      <c r="C34" s="192" t="s">
        <v>189</v>
      </c>
      <c r="D34" s="182">
        <v>30000</v>
      </c>
      <c r="E34" s="193">
        <f t="shared" si="0"/>
        <v>23812</v>
      </c>
      <c r="F34" s="185">
        <f t="shared" si="3"/>
        <v>79.37333333333333</v>
      </c>
      <c r="G34" s="181"/>
      <c r="H34" s="186">
        <v>23812</v>
      </c>
    </row>
    <row r="35" spans="1:8" ht="13.5" customHeight="1" hidden="1" outlineLevel="2">
      <c r="A35" s="183">
        <v>511</v>
      </c>
      <c r="B35" s="183" t="s">
        <v>190</v>
      </c>
      <c r="C35" s="192" t="s">
        <v>191</v>
      </c>
      <c r="D35" s="182">
        <v>15000</v>
      </c>
      <c r="E35" s="193">
        <f t="shared" si="0"/>
        <v>40055</v>
      </c>
      <c r="F35" s="185">
        <f t="shared" si="3"/>
        <v>267.0333333333333</v>
      </c>
      <c r="G35" s="181">
        <v>2097</v>
      </c>
      <c r="H35" s="186">
        <f>4924+35131+1600+497</f>
        <v>42152</v>
      </c>
    </row>
    <row r="36" spans="1:8" ht="13.5" customHeight="1" hidden="1" outlineLevel="2">
      <c r="A36" s="183">
        <v>511</v>
      </c>
      <c r="B36" s="183">
        <v>900</v>
      </c>
      <c r="C36" s="192" t="s">
        <v>78</v>
      </c>
      <c r="D36" s="182">
        <v>10000</v>
      </c>
      <c r="E36" s="193">
        <f t="shared" si="0"/>
        <v>4002</v>
      </c>
      <c r="F36" s="185">
        <f t="shared" si="3"/>
        <v>40.02</v>
      </c>
      <c r="G36" s="181">
        <v>10025</v>
      </c>
      <c r="H36" s="186">
        <v>14027</v>
      </c>
    </row>
    <row r="37" spans="1:8" s="156" customFormat="1" ht="13.5" customHeight="1" outlineLevel="1" collapsed="1">
      <c r="A37" s="197" t="s">
        <v>192</v>
      </c>
      <c r="B37" s="197"/>
      <c r="C37" s="192" t="s">
        <v>193</v>
      </c>
      <c r="D37" s="182">
        <v>1235000</v>
      </c>
      <c r="E37" s="193">
        <f t="shared" si="0"/>
        <v>660083</v>
      </c>
      <c r="F37" s="185">
        <f t="shared" si="3"/>
        <v>53.448016194331984</v>
      </c>
      <c r="G37" s="194">
        <f>SUM(G35+G36)</f>
        <v>12122</v>
      </c>
      <c r="H37" s="195">
        <f>SUBTOTAL(9,H29:H36)</f>
        <v>672205</v>
      </c>
    </row>
    <row r="38" spans="1:8" ht="13.5" customHeight="1" hidden="1" outlineLevel="2">
      <c r="A38" s="183">
        <v>512</v>
      </c>
      <c r="B38" s="183">
        <v>110</v>
      </c>
      <c r="C38" s="192" t="s">
        <v>194</v>
      </c>
      <c r="D38" s="182">
        <v>55000</v>
      </c>
      <c r="E38" s="193">
        <f t="shared" si="0"/>
        <v>41732</v>
      </c>
      <c r="F38" s="185">
        <f t="shared" si="3"/>
        <v>75.87636363636364</v>
      </c>
      <c r="G38" s="199">
        <v>342</v>
      </c>
      <c r="H38" s="186">
        <v>42074</v>
      </c>
    </row>
    <row r="39" spans="1:8" ht="13.5" customHeight="1" hidden="1" outlineLevel="2">
      <c r="A39" s="183">
        <v>512</v>
      </c>
      <c r="B39" s="183">
        <v>120</v>
      </c>
      <c r="C39" s="192" t="s">
        <v>195</v>
      </c>
      <c r="D39" s="182">
        <v>13000</v>
      </c>
      <c r="E39" s="193">
        <f t="shared" si="0"/>
        <v>12554</v>
      </c>
      <c r="F39" s="185">
        <f t="shared" si="3"/>
        <v>96.56923076923077</v>
      </c>
      <c r="G39" s="199"/>
      <c r="H39" s="186">
        <v>12554</v>
      </c>
    </row>
    <row r="40" spans="1:8" ht="13.5" customHeight="1" hidden="1" outlineLevel="2">
      <c r="A40" s="183">
        <v>512</v>
      </c>
      <c r="B40" s="183">
        <v>130</v>
      </c>
      <c r="C40" s="192" t="s">
        <v>196</v>
      </c>
      <c r="D40" s="182">
        <v>30000</v>
      </c>
      <c r="E40" s="193">
        <f t="shared" si="0"/>
        <v>52881</v>
      </c>
      <c r="F40" s="185">
        <f t="shared" si="3"/>
        <v>176.26999999999998</v>
      </c>
      <c r="G40" s="199"/>
      <c r="H40" s="186">
        <v>52881</v>
      </c>
    </row>
    <row r="41" spans="1:8" ht="13.5" customHeight="1" hidden="1" outlineLevel="2">
      <c r="A41" s="183">
        <v>512</v>
      </c>
      <c r="B41" s="183">
        <v>190</v>
      </c>
      <c r="C41" s="192" t="s">
        <v>197</v>
      </c>
      <c r="D41" s="182">
        <v>1000</v>
      </c>
      <c r="E41" s="193">
        <f t="shared" si="0"/>
        <v>9256</v>
      </c>
      <c r="F41" s="185">
        <f t="shared" si="3"/>
        <v>925.6</v>
      </c>
      <c r="G41" s="199">
        <v>67826</v>
      </c>
      <c r="H41" s="186">
        <v>77082</v>
      </c>
    </row>
    <row r="42" spans="1:8" ht="13.5" customHeight="1" hidden="1" outlineLevel="2">
      <c r="A42" s="183">
        <v>512</v>
      </c>
      <c r="B42" s="183">
        <v>210</v>
      </c>
      <c r="C42" s="192" t="s">
        <v>194</v>
      </c>
      <c r="D42" s="182">
        <v>60000</v>
      </c>
      <c r="E42" s="193">
        <f t="shared" si="0"/>
        <v>101891</v>
      </c>
      <c r="F42" s="185">
        <f t="shared" si="3"/>
        <v>169.81833333333333</v>
      </c>
      <c r="G42" s="199"/>
      <c r="H42" s="186">
        <v>101891</v>
      </c>
    </row>
    <row r="43" spans="1:8" ht="13.5" customHeight="1" hidden="1" outlineLevel="2">
      <c r="A43" s="183">
        <v>512</v>
      </c>
      <c r="B43" s="183">
        <v>220</v>
      </c>
      <c r="C43" s="192" t="s">
        <v>195</v>
      </c>
      <c r="D43" s="182">
        <v>2000</v>
      </c>
      <c r="E43" s="193">
        <f t="shared" si="0"/>
        <v>0</v>
      </c>
      <c r="F43" s="185">
        <f t="shared" si="3"/>
        <v>0</v>
      </c>
      <c r="G43" s="199"/>
      <c r="H43" s="186"/>
    </row>
    <row r="44" spans="1:8" ht="13.5" customHeight="1" hidden="1" outlineLevel="2">
      <c r="A44" s="183">
        <v>512</v>
      </c>
      <c r="B44" s="183">
        <v>230</v>
      </c>
      <c r="C44" s="192" t="s">
        <v>196</v>
      </c>
      <c r="D44" s="182">
        <v>3000</v>
      </c>
      <c r="E44" s="193">
        <f t="shared" si="0"/>
        <v>11253</v>
      </c>
      <c r="F44" s="185">
        <f t="shared" si="3"/>
        <v>375.09999999999997</v>
      </c>
      <c r="G44" s="199"/>
      <c r="H44" s="186">
        <v>11253</v>
      </c>
    </row>
    <row r="45" spans="1:8" ht="13.5" customHeight="1" hidden="1" outlineLevel="2">
      <c r="A45" s="183">
        <v>512</v>
      </c>
      <c r="B45" s="183">
        <v>290</v>
      </c>
      <c r="C45" s="192" t="s">
        <v>197</v>
      </c>
      <c r="D45" s="182">
        <v>7500</v>
      </c>
      <c r="E45" s="193">
        <f t="shared" si="0"/>
        <v>0</v>
      </c>
      <c r="F45" s="185">
        <f t="shared" si="3"/>
        <v>0</v>
      </c>
      <c r="G45" s="199"/>
      <c r="H45" s="186"/>
    </row>
    <row r="46" spans="1:8" s="156" customFormat="1" ht="13.5" customHeight="1" outlineLevel="1" collapsed="1">
      <c r="A46" s="197" t="s">
        <v>198</v>
      </c>
      <c r="B46" s="197"/>
      <c r="C46" s="192" t="s">
        <v>199</v>
      </c>
      <c r="D46" s="182">
        <v>171500</v>
      </c>
      <c r="E46" s="193">
        <f t="shared" si="0"/>
        <v>229567</v>
      </c>
      <c r="F46" s="185">
        <f t="shared" si="3"/>
        <v>133.85830903790088</v>
      </c>
      <c r="G46" s="194">
        <f>SUM(G38:G45)</f>
        <v>68168</v>
      </c>
      <c r="H46" s="195">
        <f>SUBTOTAL(9,H38:H45)</f>
        <v>297735</v>
      </c>
    </row>
    <row r="47" spans="1:8" s="202" customFormat="1" ht="13.5" customHeight="1" hidden="1" outlineLevel="2">
      <c r="A47" s="191">
        <v>513</v>
      </c>
      <c r="B47" s="200">
        <v>100</v>
      </c>
      <c r="C47" s="192" t="s">
        <v>200</v>
      </c>
      <c r="D47" s="182">
        <v>5000</v>
      </c>
      <c r="E47" s="193">
        <f t="shared" si="0"/>
        <v>6280</v>
      </c>
      <c r="F47" s="185">
        <f t="shared" si="3"/>
        <v>125.6</v>
      </c>
      <c r="G47" s="201"/>
      <c r="H47" s="186">
        <v>6280</v>
      </c>
    </row>
    <row r="48" spans="1:8" s="202" customFormat="1" ht="13.5" customHeight="1" hidden="1" outlineLevel="2">
      <c r="A48" s="191">
        <v>513</v>
      </c>
      <c r="B48" s="200">
        <v>200</v>
      </c>
      <c r="C48" s="192" t="s">
        <v>201</v>
      </c>
      <c r="D48" s="182">
        <v>60000</v>
      </c>
      <c r="E48" s="193">
        <f t="shared" si="0"/>
        <v>48958</v>
      </c>
      <c r="F48" s="185">
        <f t="shared" si="3"/>
        <v>81.59666666666666</v>
      </c>
      <c r="G48" s="199">
        <v>670</v>
      </c>
      <c r="H48" s="186">
        <v>49628</v>
      </c>
    </row>
    <row r="49" spans="1:8" s="202" customFormat="1" ht="13.5" customHeight="1" hidden="1" outlineLevel="2">
      <c r="A49" s="191">
        <v>513</v>
      </c>
      <c r="B49" s="200">
        <v>300</v>
      </c>
      <c r="C49" s="192" t="s">
        <v>202</v>
      </c>
      <c r="D49" s="182">
        <v>15000</v>
      </c>
      <c r="E49" s="193">
        <f t="shared" si="0"/>
        <v>143</v>
      </c>
      <c r="F49" s="185">
        <f t="shared" si="3"/>
        <v>0.9533333333333333</v>
      </c>
      <c r="G49" s="199"/>
      <c r="H49" s="186">
        <v>143</v>
      </c>
    </row>
    <row r="50" spans="1:8" s="202" customFormat="1" ht="25.5" customHeight="1" outlineLevel="1" collapsed="1">
      <c r="A50" s="197" t="s">
        <v>203</v>
      </c>
      <c r="B50" s="203"/>
      <c r="C50" s="204" t="s">
        <v>331</v>
      </c>
      <c r="D50" s="182">
        <v>80000</v>
      </c>
      <c r="E50" s="193">
        <f t="shared" si="0"/>
        <v>55381</v>
      </c>
      <c r="F50" s="185">
        <f t="shared" si="3"/>
        <v>69.22625</v>
      </c>
      <c r="G50" s="194">
        <f>SUBTOTAL(9,G47:G49)</f>
        <v>670</v>
      </c>
      <c r="H50" s="186">
        <f>SUBTOTAL(9,H47:H49)</f>
        <v>56051</v>
      </c>
    </row>
    <row r="51" spans="1:8" ht="13.5" customHeight="1" hidden="1" outlineLevel="2">
      <c r="A51" s="183">
        <v>518</v>
      </c>
      <c r="B51" s="183">
        <v>111</v>
      </c>
      <c r="C51" s="192" t="s">
        <v>204</v>
      </c>
      <c r="D51" s="182">
        <v>100000</v>
      </c>
      <c r="E51" s="193">
        <f t="shared" si="0"/>
        <v>88947</v>
      </c>
      <c r="F51" s="185">
        <f t="shared" si="3"/>
        <v>88.947</v>
      </c>
      <c r="G51" s="199">
        <f>6300+21446</f>
        <v>27746</v>
      </c>
      <c r="H51" s="186">
        <v>116693</v>
      </c>
    </row>
    <row r="52" spans="1:8" ht="13.5" customHeight="1" hidden="1" outlineLevel="2">
      <c r="A52" s="183">
        <v>518</v>
      </c>
      <c r="B52" s="183">
        <v>112</v>
      </c>
      <c r="C52" s="192" t="s">
        <v>205</v>
      </c>
      <c r="D52" s="182">
        <v>12000</v>
      </c>
      <c r="E52" s="193">
        <f t="shared" si="0"/>
        <v>6019</v>
      </c>
      <c r="F52" s="185">
        <f t="shared" si="3"/>
        <v>50.15833333333334</v>
      </c>
      <c r="G52" s="199"/>
      <c r="H52" s="186">
        <v>6019</v>
      </c>
    </row>
    <row r="53" spans="1:8" ht="13.5" customHeight="1" hidden="1" outlineLevel="2">
      <c r="A53" s="183">
        <v>518</v>
      </c>
      <c r="B53" s="183">
        <v>113</v>
      </c>
      <c r="C53" s="192" t="s">
        <v>206</v>
      </c>
      <c r="D53" s="182">
        <v>40000</v>
      </c>
      <c r="E53" s="193">
        <f t="shared" si="0"/>
        <v>31852</v>
      </c>
      <c r="F53" s="185">
        <f t="shared" si="3"/>
        <v>79.63</v>
      </c>
      <c r="G53" s="199"/>
      <c r="H53" s="186">
        <v>31852</v>
      </c>
    </row>
    <row r="54" spans="1:8" ht="13.5" customHeight="1" hidden="1" outlineLevel="2">
      <c r="A54" s="183">
        <v>518</v>
      </c>
      <c r="B54" s="183">
        <v>114</v>
      </c>
      <c r="C54" s="192" t="s">
        <v>207</v>
      </c>
      <c r="D54" s="182">
        <v>165000</v>
      </c>
      <c r="E54" s="193">
        <f t="shared" si="0"/>
        <v>107207</v>
      </c>
      <c r="F54" s="185">
        <f t="shared" si="3"/>
        <v>64.97393939393939</v>
      </c>
      <c r="G54" s="199">
        <f>52759+27200</f>
        <v>79959</v>
      </c>
      <c r="H54" s="186">
        <v>187166</v>
      </c>
    </row>
    <row r="55" spans="1:8" ht="13.5" customHeight="1" hidden="1" outlineLevel="2">
      <c r="A55" s="183">
        <v>518</v>
      </c>
      <c r="B55" s="183">
        <v>121</v>
      </c>
      <c r="C55" s="192" t="s">
        <v>208</v>
      </c>
      <c r="D55" s="182">
        <v>35000</v>
      </c>
      <c r="E55" s="193">
        <f t="shared" si="0"/>
        <v>41119</v>
      </c>
      <c r="F55" s="185">
        <f t="shared" si="3"/>
        <v>117.48285714285713</v>
      </c>
      <c r="G55" s="199"/>
      <c r="H55" s="186">
        <v>41119</v>
      </c>
    </row>
    <row r="56" spans="1:8" ht="13.5" customHeight="1" hidden="1" outlineLevel="2">
      <c r="A56" s="183">
        <v>518</v>
      </c>
      <c r="B56" s="183">
        <v>122</v>
      </c>
      <c r="C56" s="192" t="s">
        <v>209</v>
      </c>
      <c r="D56" s="182">
        <v>2000</v>
      </c>
      <c r="E56" s="193">
        <f t="shared" si="0"/>
        <v>1226</v>
      </c>
      <c r="F56" s="185">
        <f t="shared" si="3"/>
        <v>61.3</v>
      </c>
      <c r="G56" s="199"/>
      <c r="H56" s="186">
        <v>1226</v>
      </c>
    </row>
    <row r="57" spans="1:8" ht="13.5" customHeight="1" hidden="1" outlineLevel="2">
      <c r="A57" s="183">
        <v>518</v>
      </c>
      <c r="B57" s="183">
        <v>123</v>
      </c>
      <c r="C57" s="192" t="s">
        <v>210</v>
      </c>
      <c r="D57" s="182">
        <v>4000</v>
      </c>
      <c r="E57" s="193">
        <f t="shared" si="0"/>
        <v>2791</v>
      </c>
      <c r="F57" s="185">
        <f t="shared" si="3"/>
        <v>69.77499999999999</v>
      </c>
      <c r="G57" s="199">
        <v>1700</v>
      </c>
      <c r="H57" s="186">
        <v>4491</v>
      </c>
    </row>
    <row r="58" spans="1:8" s="156" customFormat="1" ht="13.5" customHeight="1" outlineLevel="1" collapsed="1">
      <c r="A58" s="197" t="s">
        <v>211</v>
      </c>
      <c r="B58" s="197"/>
      <c r="C58" s="205" t="s">
        <v>212</v>
      </c>
      <c r="D58" s="182">
        <v>358000</v>
      </c>
      <c r="E58" s="193">
        <f t="shared" si="0"/>
        <v>279161</v>
      </c>
      <c r="F58" s="185">
        <f t="shared" si="3"/>
        <v>77.97793296089385</v>
      </c>
      <c r="G58" s="194">
        <f>SUM(G51:G57)</f>
        <v>109405</v>
      </c>
      <c r="H58" s="195">
        <f>SUBTOTAL(9,H51:H57)</f>
        <v>388566</v>
      </c>
    </row>
    <row r="59" spans="1:8" ht="13.5" customHeight="1" hidden="1" outlineLevel="2">
      <c r="A59" s="183">
        <v>518</v>
      </c>
      <c r="B59" s="206" t="s">
        <v>213</v>
      </c>
      <c r="C59" s="192" t="s">
        <v>214</v>
      </c>
      <c r="D59" s="182">
        <v>35000</v>
      </c>
      <c r="E59" s="193">
        <f t="shared" si="0"/>
        <v>40905</v>
      </c>
      <c r="F59" s="185">
        <f t="shared" si="3"/>
        <v>116.87142857142858</v>
      </c>
      <c r="G59" s="199"/>
      <c r="H59" s="186">
        <v>40905</v>
      </c>
    </row>
    <row r="60" spans="1:8" ht="13.5" customHeight="1" hidden="1" outlineLevel="2">
      <c r="A60" s="183">
        <v>518</v>
      </c>
      <c r="B60" s="183">
        <v>230</v>
      </c>
      <c r="C60" s="192" t="s">
        <v>215</v>
      </c>
      <c r="D60" s="182">
        <v>45000</v>
      </c>
      <c r="E60" s="193">
        <f t="shared" si="0"/>
        <v>28074</v>
      </c>
      <c r="F60" s="185">
        <f t="shared" si="3"/>
        <v>62.38666666666667</v>
      </c>
      <c r="G60" s="199">
        <v>19186</v>
      </c>
      <c r="H60" s="186">
        <v>47260</v>
      </c>
    </row>
    <row r="61" spans="1:8" ht="13.5" customHeight="1" hidden="1" outlineLevel="2">
      <c r="A61" s="183">
        <v>518</v>
      </c>
      <c r="B61" s="183">
        <v>250</v>
      </c>
      <c r="C61" s="192" t="s">
        <v>216</v>
      </c>
      <c r="D61" s="182">
        <v>7250</v>
      </c>
      <c r="E61" s="193">
        <f t="shared" si="0"/>
        <v>6250</v>
      </c>
      <c r="F61" s="185">
        <f t="shared" si="3"/>
        <v>86.20689655172413</v>
      </c>
      <c r="G61" s="199"/>
      <c r="H61" s="186">
        <v>6250</v>
      </c>
    </row>
    <row r="62" spans="1:8" ht="13.5" customHeight="1" hidden="1" outlineLevel="2">
      <c r="A62" s="183">
        <v>518</v>
      </c>
      <c r="B62" s="183"/>
      <c r="C62" s="192" t="s">
        <v>217</v>
      </c>
      <c r="D62" s="182">
        <v>4000</v>
      </c>
      <c r="E62" s="193">
        <f t="shared" si="0"/>
        <v>90</v>
      </c>
      <c r="F62" s="185">
        <f t="shared" si="3"/>
        <v>2.25</v>
      </c>
      <c r="G62" s="199"/>
      <c r="H62" s="186">
        <v>90</v>
      </c>
    </row>
    <row r="63" spans="1:8" ht="13.5" customHeight="1" hidden="1" outlineLevel="2">
      <c r="A63" s="183">
        <v>518</v>
      </c>
      <c r="B63" s="183">
        <v>409</v>
      </c>
      <c r="C63" s="192" t="s">
        <v>218</v>
      </c>
      <c r="D63" s="182">
        <v>150000</v>
      </c>
      <c r="E63" s="193">
        <f t="shared" si="0"/>
        <v>196425</v>
      </c>
      <c r="F63" s="185">
        <f t="shared" si="3"/>
        <v>130.95000000000002</v>
      </c>
      <c r="G63" s="199"/>
      <c r="H63" s="186">
        <v>196425</v>
      </c>
    </row>
    <row r="64" spans="1:8" ht="13.5" customHeight="1" hidden="1" outlineLevel="2">
      <c r="A64" s="183">
        <v>518</v>
      </c>
      <c r="B64" s="183">
        <v>410</v>
      </c>
      <c r="C64" s="192" t="s">
        <v>219</v>
      </c>
      <c r="D64" s="182"/>
      <c r="E64" s="193">
        <f t="shared" si="0"/>
        <v>9516</v>
      </c>
      <c r="F64" s="185"/>
      <c r="G64" s="199"/>
      <c r="H64" s="186">
        <v>9516</v>
      </c>
    </row>
    <row r="65" spans="1:8" ht="13.5" customHeight="1" hidden="1" outlineLevel="2">
      <c r="A65" s="183">
        <v>518</v>
      </c>
      <c r="B65" s="183">
        <v>420</v>
      </c>
      <c r="C65" s="192" t="s">
        <v>220</v>
      </c>
      <c r="D65" s="182">
        <v>110000</v>
      </c>
      <c r="E65" s="193">
        <f t="shared" si="0"/>
        <v>73776</v>
      </c>
      <c r="F65" s="185">
        <f aca="true" t="shared" si="4" ref="F65:F102">(E65/D65*100)</f>
        <v>67.06909090909092</v>
      </c>
      <c r="G65" s="199"/>
      <c r="H65" s="186">
        <v>73776</v>
      </c>
    </row>
    <row r="66" spans="1:9" ht="13.5" customHeight="1" hidden="1" outlineLevel="2">
      <c r="A66" s="183">
        <v>518</v>
      </c>
      <c r="B66" s="183">
        <v>510</v>
      </c>
      <c r="C66" s="192" t="s">
        <v>221</v>
      </c>
      <c r="D66" s="182">
        <v>200000</v>
      </c>
      <c r="E66" s="193">
        <f t="shared" si="0"/>
        <v>218730</v>
      </c>
      <c r="F66" s="185">
        <f t="shared" si="4"/>
        <v>109.365</v>
      </c>
      <c r="G66" s="199"/>
      <c r="H66" s="186">
        <v>218730</v>
      </c>
      <c r="I66" s="157"/>
    </row>
    <row r="67" spans="1:8" ht="13.5" customHeight="1" hidden="1" outlineLevel="2">
      <c r="A67" s="183">
        <v>518</v>
      </c>
      <c r="B67" s="183">
        <v>520</v>
      </c>
      <c r="C67" s="192" t="s">
        <v>222</v>
      </c>
      <c r="D67" s="182">
        <v>35000</v>
      </c>
      <c r="E67" s="193">
        <f t="shared" si="0"/>
        <v>26250</v>
      </c>
      <c r="F67" s="185">
        <f t="shared" si="4"/>
        <v>75</v>
      </c>
      <c r="G67" s="199"/>
      <c r="H67" s="186">
        <v>26250</v>
      </c>
    </row>
    <row r="68" spans="1:8" ht="13.5" customHeight="1" hidden="1" outlineLevel="2">
      <c r="A68" s="183">
        <v>518</v>
      </c>
      <c r="B68" s="183"/>
      <c r="C68" s="207" t="s">
        <v>223</v>
      </c>
      <c r="D68" s="182">
        <v>1000</v>
      </c>
      <c r="E68" s="193">
        <f t="shared" si="0"/>
        <v>1500</v>
      </c>
      <c r="F68" s="185">
        <f t="shared" si="4"/>
        <v>150</v>
      </c>
      <c r="G68" s="199"/>
      <c r="H68" s="186">
        <v>1500</v>
      </c>
    </row>
    <row r="69" spans="1:8" ht="13.5" customHeight="1" hidden="1" outlineLevel="2">
      <c r="A69" s="183">
        <v>518</v>
      </c>
      <c r="B69" s="183">
        <v>540</v>
      </c>
      <c r="C69" s="192" t="s">
        <v>224</v>
      </c>
      <c r="D69" s="182">
        <v>20000</v>
      </c>
      <c r="E69" s="193">
        <f aca="true" t="shared" si="5" ref="E69:E129">H69-G69</f>
        <v>19998</v>
      </c>
      <c r="F69" s="185">
        <f t="shared" si="4"/>
        <v>99.99</v>
      </c>
      <c r="G69" s="199"/>
      <c r="H69" s="186">
        <v>19998</v>
      </c>
    </row>
    <row r="70" spans="1:8" ht="13.5" customHeight="1" hidden="1" outlineLevel="2">
      <c r="A70" s="183">
        <v>518</v>
      </c>
      <c r="B70" s="183">
        <v>550</v>
      </c>
      <c r="C70" s="192" t="s">
        <v>225</v>
      </c>
      <c r="D70" s="182">
        <v>58000</v>
      </c>
      <c r="E70" s="193">
        <f t="shared" si="5"/>
        <v>104044</v>
      </c>
      <c r="F70" s="185">
        <f t="shared" si="4"/>
        <v>179.38620689655173</v>
      </c>
      <c r="G70" s="199"/>
      <c r="H70" s="186">
        <v>104044</v>
      </c>
    </row>
    <row r="71" spans="1:9" ht="13.5" customHeight="1" hidden="1" outlineLevel="2">
      <c r="A71" s="183">
        <v>518</v>
      </c>
      <c r="B71" s="183"/>
      <c r="C71" s="192" t="s">
        <v>226</v>
      </c>
      <c r="D71" s="182">
        <v>20000</v>
      </c>
      <c r="E71" s="193">
        <f t="shared" si="5"/>
        <v>8000</v>
      </c>
      <c r="F71" s="185">
        <f t="shared" si="4"/>
        <v>40</v>
      </c>
      <c r="G71" s="199"/>
      <c r="H71" s="186">
        <v>8000</v>
      </c>
      <c r="I71" s="202"/>
    </row>
    <row r="72" spans="1:8" ht="13.5" customHeight="1" hidden="1" outlineLevel="2">
      <c r="A72" s="183">
        <v>518</v>
      </c>
      <c r="B72" s="183">
        <v>600</v>
      </c>
      <c r="C72" s="192" t="s">
        <v>227</v>
      </c>
      <c r="D72" s="182">
        <v>160000</v>
      </c>
      <c r="E72" s="193">
        <f t="shared" si="5"/>
        <v>148932</v>
      </c>
      <c r="F72" s="185">
        <f t="shared" si="4"/>
        <v>93.0825</v>
      </c>
      <c r="G72" s="199"/>
      <c r="H72" s="186">
        <v>148932</v>
      </c>
    </row>
    <row r="73" spans="1:8" ht="13.5" customHeight="1" hidden="1" outlineLevel="2">
      <c r="A73" s="183">
        <v>518</v>
      </c>
      <c r="B73" s="183">
        <v>610</v>
      </c>
      <c r="C73" s="192" t="s">
        <v>228</v>
      </c>
      <c r="D73" s="182">
        <v>150000</v>
      </c>
      <c r="E73" s="193">
        <f t="shared" si="5"/>
        <v>104727</v>
      </c>
      <c r="F73" s="185">
        <f t="shared" si="4"/>
        <v>69.818</v>
      </c>
      <c r="G73" s="199"/>
      <c r="H73" s="186">
        <v>104727</v>
      </c>
    </row>
    <row r="74" spans="1:8" ht="13.5" customHeight="1" hidden="1" outlineLevel="2">
      <c r="A74" s="183">
        <v>518</v>
      </c>
      <c r="B74" s="183">
        <v>701</v>
      </c>
      <c r="C74" s="192" t="s">
        <v>229</v>
      </c>
      <c r="D74" s="182">
        <v>12500</v>
      </c>
      <c r="E74" s="193">
        <f t="shared" si="5"/>
        <v>7887</v>
      </c>
      <c r="F74" s="185">
        <f t="shared" si="4"/>
        <v>63.096</v>
      </c>
      <c r="G74" s="199"/>
      <c r="H74" s="186">
        <v>7887</v>
      </c>
    </row>
    <row r="75" spans="1:8" ht="13.5" customHeight="1" hidden="1" outlineLevel="2">
      <c r="A75" s="183">
        <v>518</v>
      </c>
      <c r="B75" s="183">
        <v>709</v>
      </c>
      <c r="C75" s="192" t="s">
        <v>230</v>
      </c>
      <c r="D75" s="182">
        <v>5000</v>
      </c>
      <c r="E75" s="193">
        <f t="shared" si="5"/>
        <v>0</v>
      </c>
      <c r="F75" s="185">
        <f t="shared" si="4"/>
        <v>0</v>
      </c>
      <c r="G75" s="199"/>
      <c r="H75" s="186"/>
    </row>
    <row r="76" spans="1:8" ht="13.5" customHeight="1" hidden="1" outlineLevel="2">
      <c r="A76" s="183">
        <v>518</v>
      </c>
      <c r="B76" s="206" t="s">
        <v>231</v>
      </c>
      <c r="C76" s="192" t="s">
        <v>232</v>
      </c>
      <c r="D76" s="182">
        <v>6500</v>
      </c>
      <c r="E76" s="193">
        <f t="shared" si="5"/>
        <v>4244</v>
      </c>
      <c r="F76" s="185">
        <f t="shared" si="4"/>
        <v>65.29230769230769</v>
      </c>
      <c r="G76" s="199"/>
      <c r="H76" s="186">
        <v>4244</v>
      </c>
    </row>
    <row r="77" spans="1:8" ht="13.5" customHeight="1" hidden="1" outlineLevel="2">
      <c r="A77" s="183">
        <v>518</v>
      </c>
      <c r="B77" s="183">
        <v>910</v>
      </c>
      <c r="C77" s="192" t="s">
        <v>233</v>
      </c>
      <c r="D77" s="182">
        <v>8000</v>
      </c>
      <c r="E77" s="193">
        <f t="shared" si="5"/>
        <v>3948</v>
      </c>
      <c r="F77" s="185">
        <f t="shared" si="4"/>
        <v>49.35</v>
      </c>
      <c r="G77" s="199"/>
      <c r="H77" s="186">
        <v>3948</v>
      </c>
    </row>
    <row r="78" spans="1:8" ht="13.5" customHeight="1" hidden="1" outlineLevel="2">
      <c r="A78" s="183">
        <v>518</v>
      </c>
      <c r="B78" s="183">
        <v>920</v>
      </c>
      <c r="C78" s="192" t="s">
        <v>234</v>
      </c>
      <c r="D78" s="182">
        <v>100000</v>
      </c>
      <c r="E78" s="193">
        <f t="shared" si="5"/>
        <v>62870</v>
      </c>
      <c r="F78" s="185">
        <f t="shared" si="4"/>
        <v>62.870000000000005</v>
      </c>
      <c r="G78" s="199"/>
      <c r="H78" s="186">
        <v>62870</v>
      </c>
    </row>
    <row r="79" spans="1:8" ht="13.5" customHeight="1" hidden="1" outlineLevel="2">
      <c r="A79" s="183">
        <v>518</v>
      </c>
      <c r="B79" s="183">
        <v>930</v>
      </c>
      <c r="C79" s="192" t="s">
        <v>235</v>
      </c>
      <c r="D79" s="182">
        <v>15000</v>
      </c>
      <c r="E79" s="193">
        <f t="shared" si="5"/>
        <v>9202</v>
      </c>
      <c r="F79" s="185">
        <f t="shared" si="4"/>
        <v>61.34666666666667</v>
      </c>
      <c r="G79" s="199">
        <f>33308+20</f>
        <v>33328</v>
      </c>
      <c r="H79" s="186">
        <v>42530</v>
      </c>
    </row>
    <row r="80" spans="1:8" ht="13.5" customHeight="1" hidden="1" outlineLevel="2">
      <c r="A80" s="183">
        <v>518</v>
      </c>
      <c r="B80" s="183">
        <v>950</v>
      </c>
      <c r="C80" s="192" t="s">
        <v>236</v>
      </c>
      <c r="D80" s="182">
        <v>25000</v>
      </c>
      <c r="E80" s="193">
        <f t="shared" si="5"/>
        <v>27514</v>
      </c>
      <c r="F80" s="185">
        <f t="shared" si="4"/>
        <v>110.056</v>
      </c>
      <c r="G80" s="199">
        <v>1665</v>
      </c>
      <c r="H80" s="186">
        <v>29179</v>
      </c>
    </row>
    <row r="81" spans="1:8" ht="13.5" customHeight="1" hidden="1" outlineLevel="2">
      <c r="A81" s="183">
        <v>518</v>
      </c>
      <c r="B81" s="183">
        <v>960</v>
      </c>
      <c r="C81" s="192" t="s">
        <v>237</v>
      </c>
      <c r="D81" s="182">
        <v>5000</v>
      </c>
      <c r="E81" s="193">
        <f t="shared" si="5"/>
        <v>0</v>
      </c>
      <c r="F81" s="185">
        <f t="shared" si="4"/>
        <v>0</v>
      </c>
      <c r="G81" s="199"/>
      <c r="H81" s="186"/>
    </row>
    <row r="82" spans="1:8" ht="13.5" customHeight="1" hidden="1" outlineLevel="2">
      <c r="A82" s="183">
        <v>518</v>
      </c>
      <c r="B82" s="183" t="s">
        <v>238</v>
      </c>
      <c r="C82" s="192" t="s">
        <v>239</v>
      </c>
      <c r="D82" s="182">
        <v>33000</v>
      </c>
      <c r="E82" s="193">
        <f t="shared" si="5"/>
        <v>2937</v>
      </c>
      <c r="F82" s="185">
        <f t="shared" si="4"/>
        <v>8.9</v>
      </c>
      <c r="G82" s="199">
        <v>19180</v>
      </c>
      <c r="H82" s="186">
        <v>22117</v>
      </c>
    </row>
    <row r="83" spans="1:8" ht="13.5" customHeight="1" outlineLevel="1" collapsed="1">
      <c r="A83" s="208" t="s">
        <v>211</v>
      </c>
      <c r="B83" s="183"/>
      <c r="C83" s="192" t="s">
        <v>240</v>
      </c>
      <c r="D83" s="182">
        <v>1205250</v>
      </c>
      <c r="E83" s="193">
        <f t="shared" si="5"/>
        <v>1105819</v>
      </c>
      <c r="F83" s="185">
        <f t="shared" si="4"/>
        <v>91.75017631196847</v>
      </c>
      <c r="G83" s="194">
        <f>SUM(G60:G82)</f>
        <v>73359</v>
      </c>
      <c r="H83" s="186">
        <f>SUBTOTAL(9,H59:H82)</f>
        <v>1179178</v>
      </c>
    </row>
    <row r="84" spans="1:8" ht="13.5" customHeight="1" outlineLevel="1">
      <c r="A84" s="198" t="s">
        <v>241</v>
      </c>
      <c r="B84" s="209"/>
      <c r="C84" s="192" t="s">
        <v>242</v>
      </c>
      <c r="D84" s="182">
        <v>3049750</v>
      </c>
      <c r="E84" s="193">
        <f t="shared" si="5"/>
        <v>2330011</v>
      </c>
      <c r="F84" s="185">
        <f t="shared" si="4"/>
        <v>76.40006557914583</v>
      </c>
      <c r="G84" s="210">
        <f>G37+G46+G50+G58+G83</f>
        <v>263724</v>
      </c>
      <c r="H84" s="186">
        <f>H37+H46+H50+H58+H83</f>
        <v>2593735</v>
      </c>
    </row>
    <row r="85" spans="1:8" ht="13.5" customHeight="1" hidden="1" outlineLevel="2">
      <c r="A85" s="183">
        <v>521</v>
      </c>
      <c r="B85" s="183">
        <v>100</v>
      </c>
      <c r="C85" s="192" t="s">
        <v>243</v>
      </c>
      <c r="D85" s="182">
        <v>3750000</v>
      </c>
      <c r="E85" s="193">
        <f t="shared" si="5"/>
        <v>3630604</v>
      </c>
      <c r="F85" s="185">
        <f t="shared" si="4"/>
        <v>96.81610666666667</v>
      </c>
      <c r="G85" s="181"/>
      <c r="H85" s="186">
        <v>3630604</v>
      </c>
    </row>
    <row r="86" spans="1:8" ht="13.5" customHeight="1" hidden="1" outlineLevel="2">
      <c r="A86" s="183">
        <v>521</v>
      </c>
      <c r="B86" s="183">
        <v>210</v>
      </c>
      <c r="C86" s="192" t="s">
        <v>244</v>
      </c>
      <c r="D86" s="182">
        <v>30000</v>
      </c>
      <c r="E86" s="193">
        <f t="shared" si="5"/>
        <v>30000</v>
      </c>
      <c r="F86" s="185">
        <f t="shared" si="4"/>
        <v>100</v>
      </c>
      <c r="G86" s="181"/>
      <c r="H86" s="186">
        <v>30000</v>
      </c>
    </row>
    <row r="87" spans="1:8" ht="13.5" customHeight="1" hidden="1" outlineLevel="2">
      <c r="A87" s="183">
        <v>521</v>
      </c>
      <c r="B87" s="183">
        <v>220</v>
      </c>
      <c r="C87" s="192" t="s">
        <v>245</v>
      </c>
      <c r="D87" s="182">
        <v>240000</v>
      </c>
      <c r="E87" s="193">
        <f t="shared" si="5"/>
        <v>197228</v>
      </c>
      <c r="F87" s="185">
        <f t="shared" si="4"/>
        <v>82.17833333333333</v>
      </c>
      <c r="G87" s="181">
        <v>38000</v>
      </c>
      <c r="H87" s="186">
        <v>235228</v>
      </c>
    </row>
    <row r="88" spans="1:8" ht="13.5" customHeight="1" hidden="1" outlineLevel="2">
      <c r="A88" s="183">
        <v>521</v>
      </c>
      <c r="B88" s="183">
        <v>400</v>
      </c>
      <c r="C88" s="192" t="s">
        <v>246</v>
      </c>
      <c r="D88" s="182">
        <v>3000</v>
      </c>
      <c r="E88" s="193">
        <f t="shared" si="5"/>
        <v>2900</v>
      </c>
      <c r="F88" s="185">
        <f t="shared" si="4"/>
        <v>96.66666666666667</v>
      </c>
      <c r="G88" s="181"/>
      <c r="H88" s="186">
        <v>2900</v>
      </c>
    </row>
    <row r="89" spans="1:8" ht="13.5" customHeight="1" outlineLevel="1" collapsed="1">
      <c r="A89" s="208" t="s">
        <v>247</v>
      </c>
      <c r="B89" s="183"/>
      <c r="C89" s="192" t="s">
        <v>248</v>
      </c>
      <c r="D89" s="182">
        <v>4023000</v>
      </c>
      <c r="E89" s="193">
        <f t="shared" si="5"/>
        <v>3860732</v>
      </c>
      <c r="F89" s="185">
        <f t="shared" si="4"/>
        <v>95.9664926671638</v>
      </c>
      <c r="G89" s="194">
        <f>SUM(G87)</f>
        <v>38000</v>
      </c>
      <c r="H89" s="186">
        <f>SUBTOTAL(9,H85:H88)</f>
        <v>3898732</v>
      </c>
    </row>
    <row r="90" spans="1:8" ht="13.5" customHeight="1" hidden="1" outlineLevel="2">
      <c r="A90" s="183">
        <v>524</v>
      </c>
      <c r="B90" s="183">
        <v>100</v>
      </c>
      <c r="C90" s="192" t="s">
        <v>249</v>
      </c>
      <c r="D90" s="182">
        <v>325000</v>
      </c>
      <c r="E90" s="193">
        <f t="shared" si="5"/>
        <v>322503</v>
      </c>
      <c r="F90" s="185">
        <f t="shared" si="4"/>
        <v>99.23169230769231</v>
      </c>
      <c r="G90" s="181"/>
      <c r="H90" s="186">
        <v>322503</v>
      </c>
    </row>
    <row r="91" spans="1:8" ht="13.5" customHeight="1" hidden="1" outlineLevel="2">
      <c r="A91" s="183">
        <v>524</v>
      </c>
      <c r="B91" s="183">
        <v>200</v>
      </c>
      <c r="C91" s="192" t="s">
        <v>250</v>
      </c>
      <c r="D91" s="182">
        <v>920000</v>
      </c>
      <c r="E91" s="193">
        <f t="shared" si="5"/>
        <v>949553</v>
      </c>
      <c r="F91" s="185">
        <f t="shared" si="4"/>
        <v>103.21228260869566</v>
      </c>
      <c r="G91" s="181"/>
      <c r="H91" s="186">
        <v>949553</v>
      </c>
    </row>
    <row r="92" spans="1:8" s="196" customFormat="1" ht="13.5" customHeight="1" outlineLevel="1" collapsed="1">
      <c r="A92" s="197" t="s">
        <v>251</v>
      </c>
      <c r="B92" s="191"/>
      <c r="C92" s="192" t="s">
        <v>252</v>
      </c>
      <c r="D92" s="182">
        <v>1245000</v>
      </c>
      <c r="E92" s="193">
        <f t="shared" si="5"/>
        <v>1272056</v>
      </c>
      <c r="F92" s="185">
        <f t="shared" si="4"/>
        <v>102.17317269076305</v>
      </c>
      <c r="G92" s="199"/>
      <c r="H92" s="195">
        <f>SUBTOTAL(9,H90:H91)</f>
        <v>1272056</v>
      </c>
    </row>
    <row r="93" spans="1:8" ht="13.5" customHeight="1" hidden="1" outlineLevel="2">
      <c r="A93" s="183">
        <v>527</v>
      </c>
      <c r="B93" s="183">
        <v>100</v>
      </c>
      <c r="C93" s="192" t="s">
        <v>253</v>
      </c>
      <c r="D93" s="182">
        <v>100000</v>
      </c>
      <c r="E93" s="193">
        <f t="shared" si="5"/>
        <v>101779</v>
      </c>
      <c r="F93" s="185">
        <f t="shared" si="4"/>
        <v>101.779</v>
      </c>
      <c r="G93" s="181"/>
      <c r="H93" s="186">
        <v>101779</v>
      </c>
    </row>
    <row r="94" spans="1:8" ht="13.5" customHeight="1" hidden="1" outlineLevel="2">
      <c r="A94" s="183">
        <v>528</v>
      </c>
      <c r="B94" s="183">
        <v>200</v>
      </c>
      <c r="C94" s="192" t="s">
        <v>254</v>
      </c>
      <c r="D94" s="182">
        <v>20000</v>
      </c>
      <c r="E94" s="193">
        <f t="shared" si="5"/>
        <v>19172</v>
      </c>
      <c r="F94" s="185">
        <f t="shared" si="4"/>
        <v>95.86</v>
      </c>
      <c r="G94" s="181"/>
      <c r="H94" s="186">
        <v>19172</v>
      </c>
    </row>
    <row r="95" spans="1:8" s="196" customFormat="1" ht="13.5" customHeight="1" outlineLevel="1" collapsed="1">
      <c r="A95" s="197" t="s">
        <v>255</v>
      </c>
      <c r="B95" s="200"/>
      <c r="C95" s="211" t="s">
        <v>256</v>
      </c>
      <c r="D95" s="182">
        <v>5388000</v>
      </c>
      <c r="E95" s="193">
        <f t="shared" si="5"/>
        <v>5253739</v>
      </c>
      <c r="F95" s="185">
        <f t="shared" si="4"/>
        <v>97.50814773570899</v>
      </c>
      <c r="G95" s="212">
        <f>G89+G92+G93+G94</f>
        <v>38000</v>
      </c>
      <c r="H95" s="212">
        <f>H89+H92+H93+H94</f>
        <v>5291739</v>
      </c>
    </row>
    <row r="96" spans="1:8" s="196" customFormat="1" ht="13.5" customHeight="1" outlineLevel="1">
      <c r="A96" s="198" t="s">
        <v>257</v>
      </c>
      <c r="B96" s="200"/>
      <c r="C96" s="192" t="s">
        <v>258</v>
      </c>
      <c r="D96" s="182">
        <v>8000</v>
      </c>
      <c r="E96" s="193">
        <f t="shared" si="5"/>
        <v>6107</v>
      </c>
      <c r="F96" s="185">
        <f t="shared" si="4"/>
        <v>76.3375</v>
      </c>
      <c r="G96" s="199"/>
      <c r="H96" s="195">
        <v>6107</v>
      </c>
    </row>
    <row r="97" spans="1:8" ht="13.5" customHeight="1" hidden="1" outlineLevel="2">
      <c r="A97" s="183">
        <v>538</v>
      </c>
      <c r="B97" s="183" t="s">
        <v>259</v>
      </c>
      <c r="C97" s="192" t="s">
        <v>260</v>
      </c>
      <c r="D97" s="182">
        <v>7000</v>
      </c>
      <c r="E97" s="193">
        <f t="shared" si="5"/>
        <v>8278</v>
      </c>
      <c r="F97" s="185">
        <f t="shared" si="4"/>
        <v>118.25714285714287</v>
      </c>
      <c r="G97" s="181"/>
      <c r="H97" s="186">
        <f>920+1000+3398+400+300+1260+1000</f>
        <v>8278</v>
      </c>
    </row>
    <row r="98" spans="1:8" ht="13.5" customHeight="1" hidden="1" outlineLevel="2">
      <c r="A98" s="183">
        <v>538</v>
      </c>
      <c r="B98" s="183">
        <v>201</v>
      </c>
      <c r="C98" s="192" t="s">
        <v>261</v>
      </c>
      <c r="D98" s="182">
        <v>2400</v>
      </c>
      <c r="E98" s="193">
        <f t="shared" si="5"/>
        <v>1700</v>
      </c>
      <c r="F98" s="185">
        <f t="shared" si="4"/>
        <v>70.83333333333334</v>
      </c>
      <c r="G98" s="181"/>
      <c r="H98" s="186">
        <v>1700</v>
      </c>
    </row>
    <row r="99" spans="1:8" ht="13.5" customHeight="1" hidden="1" outlineLevel="2">
      <c r="A99" s="183">
        <v>538</v>
      </c>
      <c r="B99" s="183">
        <v>203</v>
      </c>
      <c r="C99" s="192" t="s">
        <v>262</v>
      </c>
      <c r="D99" s="182">
        <v>683</v>
      </c>
      <c r="E99" s="193">
        <f t="shared" si="5"/>
        <v>502</v>
      </c>
      <c r="F99" s="185">
        <f t="shared" si="4"/>
        <v>73.49926793557833</v>
      </c>
      <c r="G99" s="181">
        <v>200</v>
      </c>
      <c r="H99" s="186">
        <v>702</v>
      </c>
    </row>
    <row r="100" spans="1:8" ht="13.5" customHeight="1" hidden="1" outlineLevel="2">
      <c r="A100" s="183">
        <v>538</v>
      </c>
      <c r="B100" s="183">
        <v>204</v>
      </c>
      <c r="C100" s="192" t="s">
        <v>263</v>
      </c>
      <c r="D100" s="182">
        <v>2000</v>
      </c>
      <c r="E100" s="193">
        <f t="shared" si="5"/>
        <v>3663</v>
      </c>
      <c r="F100" s="185">
        <f t="shared" si="4"/>
        <v>183.14999999999998</v>
      </c>
      <c r="G100" s="181"/>
      <c r="H100" s="186">
        <v>3663</v>
      </c>
    </row>
    <row r="101" spans="1:8" ht="13.5" customHeight="1" hidden="1" outlineLevel="2">
      <c r="A101" s="183">
        <v>538</v>
      </c>
      <c r="B101" s="183">
        <v>205</v>
      </c>
      <c r="C101" s="192" t="s">
        <v>264</v>
      </c>
      <c r="D101" s="182">
        <v>2000</v>
      </c>
      <c r="E101" s="193">
        <f t="shared" si="5"/>
        <v>0</v>
      </c>
      <c r="F101" s="185">
        <f t="shared" si="4"/>
        <v>0</v>
      </c>
      <c r="G101" s="181"/>
      <c r="H101" s="186"/>
    </row>
    <row r="102" spans="1:8" s="196" customFormat="1" ht="13.5" customHeight="1" outlineLevel="1" collapsed="1">
      <c r="A102" s="197" t="s">
        <v>265</v>
      </c>
      <c r="B102" s="191"/>
      <c r="C102" s="192" t="s">
        <v>266</v>
      </c>
      <c r="D102" s="182">
        <v>14083</v>
      </c>
      <c r="E102" s="193">
        <f t="shared" si="5"/>
        <v>14143</v>
      </c>
      <c r="F102" s="185">
        <f t="shared" si="4"/>
        <v>100.4260455868778</v>
      </c>
      <c r="G102" s="194">
        <f>SUM(G99:G100)</f>
        <v>200</v>
      </c>
      <c r="H102" s="195">
        <f>SUBTOTAL(9,H97:H101)</f>
        <v>14343</v>
      </c>
    </row>
    <row r="103" spans="1:8" ht="13.5" customHeight="1" hidden="1" outlineLevel="2">
      <c r="A103" s="183">
        <v>543</v>
      </c>
      <c r="B103" s="213" t="s">
        <v>267</v>
      </c>
      <c r="C103" s="192" t="s">
        <v>268</v>
      </c>
      <c r="D103" s="182"/>
      <c r="E103" s="193">
        <f t="shared" si="5"/>
        <v>81089</v>
      </c>
      <c r="F103" s="185"/>
      <c r="G103" s="181"/>
      <c r="H103" s="186">
        <v>81089</v>
      </c>
    </row>
    <row r="104" spans="1:8" s="196" customFormat="1" ht="13.5" customHeight="1" hidden="1" outlineLevel="2">
      <c r="A104" s="197" t="s">
        <v>269</v>
      </c>
      <c r="B104" s="213"/>
      <c r="C104" s="192" t="s">
        <v>268</v>
      </c>
      <c r="D104" s="182"/>
      <c r="E104" s="193">
        <f t="shared" si="5"/>
        <v>81089</v>
      </c>
      <c r="F104" s="185"/>
      <c r="G104" s="199"/>
      <c r="H104" s="195">
        <f>H103</f>
        <v>81089</v>
      </c>
    </row>
    <row r="105" spans="1:8" ht="13.5" customHeight="1" hidden="1" outlineLevel="2">
      <c r="A105" s="183">
        <v>545</v>
      </c>
      <c r="B105" s="213" t="s">
        <v>267</v>
      </c>
      <c r="C105" s="192" t="s">
        <v>270</v>
      </c>
      <c r="D105" s="182"/>
      <c r="E105" s="193">
        <f t="shared" si="5"/>
        <v>320249</v>
      </c>
      <c r="F105" s="185"/>
      <c r="G105" s="181"/>
      <c r="H105" s="186">
        <v>320249</v>
      </c>
    </row>
    <row r="106" spans="1:8" s="196" customFormat="1" ht="13.5" customHeight="1" outlineLevel="1" collapsed="1">
      <c r="A106" s="197" t="s">
        <v>271</v>
      </c>
      <c r="B106" s="213"/>
      <c r="C106" s="192" t="s">
        <v>272</v>
      </c>
      <c r="D106" s="182"/>
      <c r="E106" s="193">
        <f t="shared" si="5"/>
        <v>320249</v>
      </c>
      <c r="F106" s="185"/>
      <c r="G106" s="199"/>
      <c r="H106" s="195">
        <f>SUBTOTAL(9,H105:H105)</f>
        <v>320249</v>
      </c>
    </row>
    <row r="107" spans="1:8" ht="13.5" customHeight="1" hidden="1" outlineLevel="2">
      <c r="A107" s="183">
        <v>546</v>
      </c>
      <c r="B107" s="213" t="s">
        <v>267</v>
      </c>
      <c r="C107" s="192" t="s">
        <v>273</v>
      </c>
      <c r="D107" s="182"/>
      <c r="E107" s="193">
        <f t="shared" si="5"/>
        <v>65499</v>
      </c>
      <c r="F107" s="185"/>
      <c r="G107" s="181"/>
      <c r="H107" s="186">
        <v>65499</v>
      </c>
    </row>
    <row r="108" spans="1:8" s="196" customFormat="1" ht="13.5" customHeight="1" outlineLevel="1" collapsed="1">
      <c r="A108" s="197" t="s">
        <v>274</v>
      </c>
      <c r="B108" s="213"/>
      <c r="C108" s="211" t="s">
        <v>273</v>
      </c>
      <c r="D108" s="182"/>
      <c r="E108" s="193">
        <f t="shared" si="5"/>
        <v>65499</v>
      </c>
      <c r="F108" s="185"/>
      <c r="G108" s="199"/>
      <c r="H108" s="212">
        <f>SUBTOTAL(9,H107:H107)</f>
        <v>65499</v>
      </c>
    </row>
    <row r="109" spans="1:8" ht="13.5" customHeight="1" hidden="1" outlineLevel="2">
      <c r="A109" s="183">
        <v>549</v>
      </c>
      <c r="B109" s="183">
        <v>105</v>
      </c>
      <c r="C109" s="211" t="s">
        <v>275</v>
      </c>
      <c r="D109" s="182">
        <v>11350</v>
      </c>
      <c r="E109" s="193">
        <f t="shared" si="5"/>
        <v>11238</v>
      </c>
      <c r="F109" s="185">
        <f aca="true" t="shared" si="6" ref="F109:F115">(E109/D109*100)</f>
        <v>99.01321585903084</v>
      </c>
      <c r="G109" s="181"/>
      <c r="H109" s="182">
        <f>6565+4506+840-673</f>
        <v>11238</v>
      </c>
    </row>
    <row r="110" spans="1:8" ht="13.5" customHeight="1" hidden="1" outlineLevel="2">
      <c r="A110" s="183">
        <v>549</v>
      </c>
      <c r="B110" s="183">
        <v>106</v>
      </c>
      <c r="C110" s="192" t="s">
        <v>276</v>
      </c>
      <c r="D110" s="182">
        <v>3300</v>
      </c>
      <c r="E110" s="193">
        <f t="shared" si="5"/>
        <v>9098</v>
      </c>
      <c r="F110" s="185">
        <f t="shared" si="6"/>
        <v>275.6969696969697</v>
      </c>
      <c r="G110" s="181"/>
      <c r="H110" s="186">
        <v>9098</v>
      </c>
    </row>
    <row r="111" spans="1:8" ht="13.5" customHeight="1" hidden="1" outlineLevel="2">
      <c r="A111" s="183">
        <v>549</v>
      </c>
      <c r="B111" s="183">
        <v>109</v>
      </c>
      <c r="C111" s="192" t="s">
        <v>277</v>
      </c>
      <c r="D111" s="182">
        <v>17000</v>
      </c>
      <c r="E111" s="193">
        <f t="shared" si="5"/>
        <v>11056</v>
      </c>
      <c r="F111" s="185">
        <f t="shared" si="6"/>
        <v>65.03529411764706</v>
      </c>
      <c r="G111" s="181"/>
      <c r="H111" s="186">
        <v>11056</v>
      </c>
    </row>
    <row r="112" spans="1:8" ht="13.5" customHeight="1" hidden="1" outlineLevel="2">
      <c r="A112" s="183">
        <v>549</v>
      </c>
      <c r="B112" s="183">
        <v>110</v>
      </c>
      <c r="C112" s="192" t="s">
        <v>278</v>
      </c>
      <c r="D112" s="182">
        <v>12123</v>
      </c>
      <c r="E112" s="193">
        <f t="shared" si="5"/>
        <v>0</v>
      </c>
      <c r="F112" s="185">
        <f t="shared" si="6"/>
        <v>0</v>
      </c>
      <c r="G112" s="181"/>
      <c r="H112" s="186"/>
    </row>
    <row r="113" spans="1:9" ht="13.5" customHeight="1" hidden="1" outlineLevel="2">
      <c r="A113" s="183">
        <v>549</v>
      </c>
      <c r="B113" s="183">
        <v>111</v>
      </c>
      <c r="C113" s="214" t="s">
        <v>279</v>
      </c>
      <c r="D113" s="182">
        <v>2000</v>
      </c>
      <c r="E113" s="193">
        <f t="shared" si="5"/>
        <v>0</v>
      </c>
      <c r="F113" s="185">
        <f t="shared" si="6"/>
        <v>0</v>
      </c>
      <c r="G113" s="181"/>
      <c r="H113" s="186"/>
      <c r="I113" s="154">
        <v>35</v>
      </c>
    </row>
    <row r="114" spans="1:9" ht="13.5" customHeight="1" hidden="1" outlineLevel="2">
      <c r="A114" s="183">
        <v>549</v>
      </c>
      <c r="B114" s="183">
        <v>112</v>
      </c>
      <c r="C114" s="211" t="s">
        <v>280</v>
      </c>
      <c r="D114" s="182">
        <v>12000</v>
      </c>
      <c r="E114" s="193">
        <f t="shared" si="5"/>
        <v>8285</v>
      </c>
      <c r="F114" s="185">
        <f t="shared" si="6"/>
        <v>69.04166666666667</v>
      </c>
      <c r="G114" s="181"/>
      <c r="H114" s="182">
        <v>8285</v>
      </c>
      <c r="I114" s="154">
        <v>224</v>
      </c>
    </row>
    <row r="115" spans="1:9" ht="13.5" customHeight="1" hidden="1" outlineLevel="2">
      <c r="A115" s="183">
        <v>549</v>
      </c>
      <c r="B115" s="183">
        <v>113</v>
      </c>
      <c r="C115" s="192" t="s">
        <v>281</v>
      </c>
      <c r="D115" s="182">
        <v>31000</v>
      </c>
      <c r="E115" s="193">
        <f t="shared" si="5"/>
        <v>31716</v>
      </c>
      <c r="F115" s="185">
        <f t="shared" si="6"/>
        <v>102.30967741935484</v>
      </c>
      <c r="G115" s="181"/>
      <c r="H115" s="186">
        <v>31716</v>
      </c>
      <c r="I115" s="154">
        <v>179</v>
      </c>
    </row>
    <row r="116" spans="1:9" ht="13.5" customHeight="1" hidden="1" outlineLevel="2">
      <c r="A116" s="183">
        <v>549</v>
      </c>
      <c r="B116" s="183">
        <v>115</v>
      </c>
      <c r="C116" s="192" t="s">
        <v>282</v>
      </c>
      <c r="D116" s="182"/>
      <c r="E116" s="193">
        <f t="shared" si="5"/>
        <v>427</v>
      </c>
      <c r="F116" s="185"/>
      <c r="G116" s="181"/>
      <c r="H116" s="186">
        <v>427</v>
      </c>
      <c r="I116" s="154">
        <v>38</v>
      </c>
    </row>
    <row r="117" spans="1:9" ht="13.5" customHeight="1" hidden="1" outlineLevel="2">
      <c r="A117" s="183">
        <v>549</v>
      </c>
      <c r="B117" s="183">
        <v>116</v>
      </c>
      <c r="C117" s="192" t="s">
        <v>283</v>
      </c>
      <c r="D117" s="182">
        <v>15806</v>
      </c>
      <c r="E117" s="193">
        <f t="shared" si="5"/>
        <v>22309</v>
      </c>
      <c r="F117" s="185">
        <f>(E117/D117*100)</f>
        <v>141.14260407440213</v>
      </c>
      <c r="G117" s="181"/>
      <c r="H117" s="186">
        <v>22309</v>
      </c>
      <c r="I117" s="154">
        <v>59</v>
      </c>
    </row>
    <row r="118" spans="1:9" ht="13.5" customHeight="1" hidden="1" outlineLevel="2">
      <c r="A118" s="183">
        <v>549</v>
      </c>
      <c r="B118" s="183">
        <v>130</v>
      </c>
      <c r="C118" s="192" t="s">
        <v>284</v>
      </c>
      <c r="D118" s="182"/>
      <c r="E118" s="193">
        <f t="shared" si="5"/>
        <v>6120</v>
      </c>
      <c r="F118" s="185"/>
      <c r="G118" s="181"/>
      <c r="H118" s="186">
        <v>6120</v>
      </c>
      <c r="I118" s="154">
        <v>184</v>
      </c>
    </row>
    <row r="119" spans="1:9" ht="13.5" customHeight="1" hidden="1" outlineLevel="2">
      <c r="A119" s="183">
        <v>549</v>
      </c>
      <c r="B119" s="183">
        <v>127</v>
      </c>
      <c r="C119" s="192" t="s">
        <v>285</v>
      </c>
      <c r="D119" s="182">
        <v>13588</v>
      </c>
      <c r="E119" s="193">
        <f t="shared" si="5"/>
        <v>13757</v>
      </c>
      <c r="F119" s="185">
        <f aca="true" t="shared" si="7" ref="F119:F126">(E119/D119*100)</f>
        <v>101.2437444804239</v>
      </c>
      <c r="G119" s="181"/>
      <c r="H119" s="186">
        <v>13757</v>
      </c>
      <c r="I119" s="154">
        <v>541</v>
      </c>
    </row>
    <row r="120" spans="1:8" s="196" customFormat="1" ht="13.5" customHeight="1" outlineLevel="1" collapsed="1">
      <c r="A120" s="197" t="s">
        <v>286</v>
      </c>
      <c r="B120" s="191"/>
      <c r="C120" s="192" t="s">
        <v>287</v>
      </c>
      <c r="D120" s="182">
        <v>118167</v>
      </c>
      <c r="E120" s="193">
        <f t="shared" si="5"/>
        <v>114006</v>
      </c>
      <c r="F120" s="185">
        <f t="shared" si="7"/>
        <v>96.4787123308538</v>
      </c>
      <c r="G120" s="199"/>
      <c r="H120" s="195">
        <f>SUBTOTAL(9,H109:H119)</f>
        <v>114006</v>
      </c>
    </row>
    <row r="121" spans="1:8" ht="13.5" customHeight="1" hidden="1" outlineLevel="2">
      <c r="A121" s="183">
        <v>549</v>
      </c>
      <c r="B121" s="191">
        <v>200</v>
      </c>
      <c r="C121" s="192" t="s">
        <v>288</v>
      </c>
      <c r="D121" s="182">
        <v>40000</v>
      </c>
      <c r="E121" s="193">
        <f t="shared" si="5"/>
        <v>45668</v>
      </c>
      <c r="F121" s="185">
        <f t="shared" si="7"/>
        <v>114.16999999999999</v>
      </c>
      <c r="G121" s="181"/>
      <c r="H121" s="186">
        <v>45668</v>
      </c>
    </row>
    <row r="122" spans="1:8" ht="13.5" customHeight="1" hidden="1" outlineLevel="2">
      <c r="A122" s="183">
        <v>549</v>
      </c>
      <c r="B122" s="191">
        <v>900</v>
      </c>
      <c r="C122" s="192" t="s">
        <v>289</v>
      </c>
      <c r="D122" s="182">
        <v>20000</v>
      </c>
      <c r="E122" s="193">
        <f t="shared" si="5"/>
        <v>937</v>
      </c>
      <c r="F122" s="185">
        <f t="shared" si="7"/>
        <v>4.6850000000000005</v>
      </c>
      <c r="G122" s="181">
        <v>12511</v>
      </c>
      <c r="H122" s="186">
        <v>13448</v>
      </c>
    </row>
    <row r="123" spans="1:8" s="196" customFormat="1" ht="13.5" customHeight="1" outlineLevel="1" collapsed="1">
      <c r="A123" s="197" t="s">
        <v>286</v>
      </c>
      <c r="B123" s="191"/>
      <c r="C123" s="192" t="s">
        <v>290</v>
      </c>
      <c r="D123" s="182">
        <v>60000</v>
      </c>
      <c r="E123" s="193">
        <f t="shared" si="5"/>
        <v>46605</v>
      </c>
      <c r="F123" s="185">
        <f t="shared" si="7"/>
        <v>77.67500000000001</v>
      </c>
      <c r="G123" s="194">
        <f>SUM(G122)</f>
        <v>12511</v>
      </c>
      <c r="H123" s="195">
        <f>SUBTOTAL(9,H121:H122)</f>
        <v>59116</v>
      </c>
    </row>
    <row r="124" spans="1:8" ht="13.5" customHeight="1" hidden="1" outlineLevel="2">
      <c r="A124" s="183">
        <v>551</v>
      </c>
      <c r="B124" s="213" t="s">
        <v>267</v>
      </c>
      <c r="C124" s="192" t="s">
        <v>291</v>
      </c>
      <c r="D124" s="182">
        <v>540000</v>
      </c>
      <c r="E124" s="193">
        <f t="shared" si="5"/>
        <v>497688</v>
      </c>
      <c r="F124" s="185">
        <f t="shared" si="7"/>
        <v>92.16444444444446</v>
      </c>
      <c r="G124" s="181"/>
      <c r="H124" s="186">
        <v>497688</v>
      </c>
    </row>
    <row r="125" spans="1:8" ht="13.5" customHeight="1" hidden="1" outlineLevel="2">
      <c r="A125" s="183"/>
      <c r="B125" s="213"/>
      <c r="C125" s="204" t="s">
        <v>292</v>
      </c>
      <c r="D125" s="182">
        <v>800000</v>
      </c>
      <c r="E125" s="193">
        <f t="shared" si="5"/>
        <v>830045</v>
      </c>
      <c r="F125" s="185">
        <f t="shared" si="7"/>
        <v>103.755625</v>
      </c>
      <c r="G125" s="181"/>
      <c r="H125" s="186">
        <f>253805+576240</f>
        <v>830045</v>
      </c>
    </row>
    <row r="126" spans="1:8" s="196" customFormat="1" ht="13.5" customHeight="1" outlineLevel="1" collapsed="1">
      <c r="A126" s="197" t="s">
        <v>293</v>
      </c>
      <c r="B126" s="213"/>
      <c r="C126" s="192" t="s">
        <v>294</v>
      </c>
      <c r="D126" s="182">
        <v>1340000</v>
      </c>
      <c r="E126" s="193">
        <f t="shared" si="5"/>
        <v>1327733</v>
      </c>
      <c r="F126" s="185">
        <f t="shared" si="7"/>
        <v>99.08455223880597</v>
      </c>
      <c r="G126" s="199"/>
      <c r="H126" s="195">
        <f>SUBTOTAL(9,H124:H125)</f>
        <v>1327733</v>
      </c>
    </row>
    <row r="127" spans="1:8" ht="13.5" customHeight="1" hidden="1" outlineLevel="2">
      <c r="A127" s="183">
        <v>582</v>
      </c>
      <c r="B127" s="191">
        <v>102</v>
      </c>
      <c r="C127" s="192" t="s">
        <v>295</v>
      </c>
      <c r="D127" s="182"/>
      <c r="E127" s="193">
        <f t="shared" si="5"/>
        <v>6352</v>
      </c>
      <c r="F127" s="185"/>
      <c r="G127" s="181"/>
      <c r="H127" s="186">
        <v>6352</v>
      </c>
    </row>
    <row r="128" spans="1:8" ht="13.5" customHeight="1" hidden="1" outlineLevel="2">
      <c r="A128" s="183">
        <v>582</v>
      </c>
      <c r="B128" s="203" t="s">
        <v>296</v>
      </c>
      <c r="C128" s="192" t="s">
        <v>297</v>
      </c>
      <c r="D128" s="182">
        <v>35000</v>
      </c>
      <c r="E128" s="193">
        <f t="shared" si="5"/>
        <v>23689</v>
      </c>
      <c r="F128" s="185">
        <f>(E128/D128*100)</f>
        <v>67.68285714285715</v>
      </c>
      <c r="G128" s="181"/>
      <c r="H128" s="186">
        <f>900+2489+300+20000</f>
        <v>23689</v>
      </c>
    </row>
    <row r="129" spans="1:8" s="196" customFormat="1" ht="13.5" customHeight="1" outlineLevel="1" collapsed="1" thickBot="1">
      <c r="A129" s="197" t="s">
        <v>298</v>
      </c>
      <c r="B129" s="200"/>
      <c r="C129" s="215" t="s">
        <v>299</v>
      </c>
      <c r="D129" s="216">
        <v>35000</v>
      </c>
      <c r="E129" s="193">
        <f t="shared" si="5"/>
        <v>30041</v>
      </c>
      <c r="F129" s="217">
        <f>(E129/D129*100)</f>
        <v>85.83142857142857</v>
      </c>
      <c r="G129" s="218"/>
      <c r="H129" s="219">
        <f>SUBTOTAL(9,H127:H128)</f>
        <v>30041</v>
      </c>
    </row>
    <row r="130" spans="1:8" ht="14.25" customHeight="1" outlineLevel="1" thickBot="1">
      <c r="A130" s="196"/>
      <c r="B130" s="230"/>
      <c r="C130" s="220" t="s">
        <v>300</v>
      </c>
      <c r="D130" s="221">
        <f>D23+D27+D28+D37+D46+D50+D58+D83+D95+D96+D102+D106+D108+D120+D126+D123+D129+D104</f>
        <v>10682500</v>
      </c>
      <c r="E130" s="221">
        <f>E23+E27+E28+E37+E46+E50+E58+E83+E95+E96+E102+E106+E108+E120+E126+E123+E129+E104</f>
        <v>10094904</v>
      </c>
      <c r="F130" s="222">
        <f>(E130/D130*100)</f>
        <v>94.4994523753803</v>
      </c>
      <c r="G130" s="223">
        <f>G23+G27+G37+G46+G50+G58+G83+G95+G96+G102+G106+G108+G120+G126+G123+G129+G104</f>
        <v>2541368</v>
      </c>
      <c r="H130" s="223">
        <f>H23+H27+H28+H37+H46+H50+H58+H83+H95+H96+H102+H106+H108+H120+H126+H123+H129+H104</f>
        <v>12636272</v>
      </c>
    </row>
    <row r="131" spans="1:8" ht="13.5" customHeight="1" outlineLevel="1">
      <c r="A131" s="224"/>
      <c r="B131" s="225"/>
      <c r="C131" s="205"/>
      <c r="D131" s="226"/>
      <c r="E131" s="227"/>
      <c r="F131" s="228"/>
      <c r="G131" s="229"/>
      <c r="H131" s="227"/>
    </row>
    <row r="132" spans="1:7" s="196" customFormat="1" ht="15.75" customHeight="1" outlineLevel="1" thickBot="1">
      <c r="A132" s="230" t="s">
        <v>349</v>
      </c>
      <c r="G132" s="231"/>
    </row>
    <row r="133" spans="1:8" ht="13.5" customHeight="1">
      <c r="A133" s="158"/>
      <c r="B133" s="159"/>
      <c r="C133" s="160"/>
      <c r="D133" s="161">
        <v>2002</v>
      </c>
      <c r="E133" s="162" t="s">
        <v>146</v>
      </c>
      <c r="F133" s="163" t="s">
        <v>147</v>
      </c>
      <c r="G133" s="164" t="s">
        <v>146</v>
      </c>
      <c r="H133" s="165" t="s">
        <v>146</v>
      </c>
    </row>
    <row r="134" spans="1:8" ht="13.5" customHeight="1" thickBot="1">
      <c r="A134" s="166" t="s">
        <v>301</v>
      </c>
      <c r="B134" s="167"/>
      <c r="C134" s="167" t="s">
        <v>302</v>
      </c>
      <c r="D134" s="232" t="s">
        <v>151</v>
      </c>
      <c r="E134" s="169" t="s">
        <v>152</v>
      </c>
      <c r="F134" s="170" t="s">
        <v>153</v>
      </c>
      <c r="G134" s="171" t="s">
        <v>154</v>
      </c>
      <c r="H134" s="172" t="s">
        <v>83</v>
      </c>
    </row>
    <row r="135" spans="1:8" ht="13.5" customHeight="1">
      <c r="A135" s="173">
        <v>602</v>
      </c>
      <c r="B135" s="233">
        <v>100</v>
      </c>
      <c r="C135" s="234" t="s">
        <v>303</v>
      </c>
      <c r="D135" s="179">
        <v>6131000</v>
      </c>
      <c r="E135" s="193">
        <f>56800+227300+250800+35600+53900+225800+716900+228000+111300+363100+678000+180600+259100+299900+255900+7000+297400+216800+142900+34600+73200+129600+258900+770700+138500+69193+37200+96400+42000</f>
        <v>6257393</v>
      </c>
      <c r="F135" s="185">
        <f>(E135/D135*100)</f>
        <v>102.06153971619638</v>
      </c>
      <c r="G135" s="178"/>
      <c r="H135" s="182">
        <f>56800+227300+250800+35600+53900+225800+716900+228000+111300+363100+678000+180600+259100+299900+255900+7000+297400+216800+142900+34600+73200+129600+258900+770700+138500+69193+37200+96400+42000</f>
        <v>6257393</v>
      </c>
    </row>
    <row r="136" spans="1:8" ht="13.5" customHeight="1">
      <c r="A136" s="183">
        <v>602</v>
      </c>
      <c r="B136" s="235">
        <v>200</v>
      </c>
      <c r="C136" s="214" t="s">
        <v>304</v>
      </c>
      <c r="D136" s="186">
        <v>650000</v>
      </c>
      <c r="E136" s="236">
        <v>656565</v>
      </c>
      <c r="F136" s="185">
        <f>(E136/D136*100)</f>
        <v>101.01</v>
      </c>
      <c r="G136" s="181"/>
      <c r="H136" s="186">
        <v>656565</v>
      </c>
    </row>
    <row r="137" spans="1:8" ht="13.5" customHeight="1">
      <c r="A137" s="183">
        <v>602</v>
      </c>
      <c r="B137" s="237">
        <v>500</v>
      </c>
      <c r="C137" s="214" t="s">
        <v>305</v>
      </c>
      <c r="D137" s="186"/>
      <c r="E137" s="236">
        <f>4810+1150</f>
        <v>5960</v>
      </c>
      <c r="F137" s="238"/>
      <c r="G137" s="181"/>
      <c r="H137" s="186">
        <f>4810+1150</f>
        <v>5960</v>
      </c>
    </row>
    <row r="138" spans="1:9" ht="13.5" customHeight="1">
      <c r="A138" s="183">
        <v>602</v>
      </c>
      <c r="B138" s="237">
        <v>300</v>
      </c>
      <c r="C138" s="214" t="s">
        <v>306</v>
      </c>
      <c r="D138" s="186">
        <v>1000000</v>
      </c>
      <c r="E138" s="236">
        <v>1000000</v>
      </c>
      <c r="F138" s="238"/>
      <c r="G138" s="181"/>
      <c r="H138" s="186">
        <v>1000000</v>
      </c>
      <c r="I138" s="157"/>
    </row>
    <row r="139" spans="1:9" ht="13.5" customHeight="1">
      <c r="A139" s="183">
        <v>602</v>
      </c>
      <c r="B139" s="237" t="s">
        <v>307</v>
      </c>
      <c r="C139" s="214" t="s">
        <v>308</v>
      </c>
      <c r="D139" s="186">
        <v>850000</v>
      </c>
      <c r="E139" s="236">
        <v>873560</v>
      </c>
      <c r="F139" s="185">
        <f>(E139/D139*100)</f>
        <v>102.77176470588236</v>
      </c>
      <c r="G139" s="181"/>
      <c r="H139" s="186">
        <v>873560</v>
      </c>
      <c r="I139" s="157"/>
    </row>
    <row r="140" spans="1:11" ht="13.5" customHeight="1">
      <c r="A140" s="183">
        <v>602</v>
      </c>
      <c r="B140" s="237">
        <v>700</v>
      </c>
      <c r="C140" s="239" t="s">
        <v>336</v>
      </c>
      <c r="D140" s="186">
        <v>100000</v>
      </c>
      <c r="E140" s="236">
        <v>117012</v>
      </c>
      <c r="F140" s="185"/>
      <c r="G140" s="181"/>
      <c r="H140" s="186">
        <v>117012</v>
      </c>
      <c r="I140" s="157"/>
      <c r="J140" s="229"/>
      <c r="K140" s="224"/>
    </row>
    <row r="141" spans="1:11" ht="13.5" customHeight="1">
      <c r="A141" s="183">
        <v>602</v>
      </c>
      <c r="B141" s="240" t="s">
        <v>309</v>
      </c>
      <c r="C141" s="214" t="s">
        <v>310</v>
      </c>
      <c r="D141" s="186">
        <v>5000</v>
      </c>
      <c r="E141" s="236">
        <f>4386+180+1242</f>
        <v>5808</v>
      </c>
      <c r="F141" s="185">
        <f>(E141/D141*100)</f>
        <v>116.16</v>
      </c>
      <c r="G141" s="181"/>
      <c r="H141" s="186">
        <f>4386+180+1242</f>
        <v>5808</v>
      </c>
      <c r="J141" s="229"/>
      <c r="K141" s="224"/>
    </row>
    <row r="142" spans="1:11" ht="13.5" customHeight="1">
      <c r="A142" s="183">
        <v>604</v>
      </c>
      <c r="B142" s="241" t="s">
        <v>267</v>
      </c>
      <c r="C142" s="214" t="s">
        <v>311</v>
      </c>
      <c r="D142" s="186"/>
      <c r="E142" s="236">
        <v>18000</v>
      </c>
      <c r="F142" s="185"/>
      <c r="G142" s="181"/>
      <c r="H142" s="186">
        <v>18000</v>
      </c>
      <c r="J142" s="229"/>
      <c r="K142" s="224"/>
    </row>
    <row r="143" spans="1:11" ht="13.5" customHeight="1">
      <c r="A143" s="242">
        <v>644</v>
      </c>
      <c r="B143" s="154" t="s">
        <v>312</v>
      </c>
      <c r="C143" s="214" t="s">
        <v>313</v>
      </c>
      <c r="D143" s="186">
        <v>90000</v>
      </c>
      <c r="E143" s="236">
        <v>88602</v>
      </c>
      <c r="F143" s="185">
        <f>(E143/D143*100)</f>
        <v>98.44666666666667</v>
      </c>
      <c r="G143" s="181"/>
      <c r="H143" s="186">
        <v>88602</v>
      </c>
      <c r="J143" s="229"/>
      <c r="K143" s="229"/>
    </row>
    <row r="144" spans="1:11" ht="13.5" customHeight="1">
      <c r="A144" s="183">
        <v>645</v>
      </c>
      <c r="B144" s="241" t="s">
        <v>267</v>
      </c>
      <c r="C144" s="214" t="s">
        <v>314</v>
      </c>
      <c r="D144" s="186"/>
      <c r="E144" s="236">
        <v>230860</v>
      </c>
      <c r="F144" s="185"/>
      <c r="G144" s="181"/>
      <c r="H144" s="186">
        <v>230860</v>
      </c>
      <c r="J144" s="229"/>
      <c r="K144" s="229"/>
    </row>
    <row r="145" spans="1:11" ht="13.5" customHeight="1">
      <c r="A145" s="183">
        <v>648</v>
      </c>
      <c r="B145" s="241" t="s">
        <v>315</v>
      </c>
      <c r="C145" s="214" t="s">
        <v>316</v>
      </c>
      <c r="D145" s="186"/>
      <c r="E145" s="236">
        <v>15000</v>
      </c>
      <c r="F145" s="185"/>
      <c r="G145" s="181"/>
      <c r="H145" s="186">
        <v>15000</v>
      </c>
      <c r="J145" s="229"/>
      <c r="K145" s="229"/>
    </row>
    <row r="146" spans="1:11" ht="13.5" customHeight="1">
      <c r="A146" s="183">
        <v>648</v>
      </c>
      <c r="B146" s="241" t="s">
        <v>317</v>
      </c>
      <c r="C146" s="214" t="s">
        <v>330</v>
      </c>
      <c r="D146" s="186"/>
      <c r="E146" s="236">
        <v>61831</v>
      </c>
      <c r="F146" s="185"/>
      <c r="G146" s="181"/>
      <c r="H146" s="186">
        <v>61831</v>
      </c>
      <c r="J146" s="229"/>
      <c r="K146" s="229"/>
    </row>
    <row r="147" spans="1:11" ht="13.5" customHeight="1">
      <c r="A147" s="183">
        <v>648</v>
      </c>
      <c r="B147" s="241" t="s">
        <v>318</v>
      </c>
      <c r="C147" s="214" t="s">
        <v>319</v>
      </c>
      <c r="D147" s="186"/>
      <c r="E147" s="236">
        <v>99612</v>
      </c>
      <c r="F147" s="185"/>
      <c r="G147" s="181"/>
      <c r="H147" s="186">
        <v>99612</v>
      </c>
      <c r="J147" s="229"/>
      <c r="K147" s="229"/>
    </row>
    <row r="148" spans="1:11" ht="13.5" customHeight="1">
      <c r="A148" s="183">
        <v>648</v>
      </c>
      <c r="B148" s="241" t="s">
        <v>320</v>
      </c>
      <c r="C148" s="214" t="s">
        <v>321</v>
      </c>
      <c r="D148" s="186"/>
      <c r="E148" s="236">
        <v>37005</v>
      </c>
      <c r="F148" s="185"/>
      <c r="G148" s="181"/>
      <c r="H148" s="186">
        <v>37005</v>
      </c>
      <c r="J148" s="229"/>
      <c r="K148" s="229"/>
    </row>
    <row r="149" spans="1:11" ht="13.5" customHeight="1">
      <c r="A149" s="183">
        <v>648</v>
      </c>
      <c r="B149" s="237">
        <v>470</v>
      </c>
      <c r="C149" s="214" t="s">
        <v>332</v>
      </c>
      <c r="D149" s="186">
        <v>65400</v>
      </c>
      <c r="E149" s="236">
        <v>40570</v>
      </c>
      <c r="F149" s="185">
        <f>(E149/D149*100)</f>
        <v>62.03363914373089</v>
      </c>
      <c r="G149" s="181"/>
      <c r="H149" s="186">
        <v>40570</v>
      </c>
      <c r="J149" s="229"/>
      <c r="K149" s="229"/>
    </row>
    <row r="150" spans="1:11" ht="13.5" customHeight="1">
      <c r="A150" s="183">
        <v>648</v>
      </c>
      <c r="B150" s="243">
        <v>460</v>
      </c>
      <c r="C150" s="214" t="s">
        <v>333</v>
      </c>
      <c r="D150" s="186">
        <v>0</v>
      </c>
      <c r="E150" s="236"/>
      <c r="F150" s="185"/>
      <c r="G150" s="210">
        <v>2541368</v>
      </c>
      <c r="H150" s="186">
        <v>2541368</v>
      </c>
      <c r="J150" s="229"/>
      <c r="K150" s="229"/>
    </row>
    <row r="151" spans="1:11" ht="13.5" customHeight="1">
      <c r="A151" s="183">
        <v>648</v>
      </c>
      <c r="B151" s="243">
        <v>490</v>
      </c>
      <c r="C151" s="244" t="s">
        <v>334</v>
      </c>
      <c r="D151" s="186">
        <v>1154000</v>
      </c>
      <c r="E151" s="236">
        <v>276175</v>
      </c>
      <c r="F151" s="185"/>
      <c r="G151" s="181"/>
      <c r="H151" s="186">
        <v>276175</v>
      </c>
      <c r="J151" s="229"/>
      <c r="K151" s="229"/>
    </row>
    <row r="152" spans="1:11" ht="13.5" customHeight="1">
      <c r="A152" s="183">
        <v>649</v>
      </c>
      <c r="B152" s="243" t="s">
        <v>296</v>
      </c>
      <c r="C152" s="214" t="s">
        <v>335</v>
      </c>
      <c r="D152" s="186">
        <v>60000</v>
      </c>
      <c r="E152" s="236">
        <v>66675</v>
      </c>
      <c r="F152" s="185">
        <f>(E152/D152*100)</f>
        <v>111.125</v>
      </c>
      <c r="G152" s="181"/>
      <c r="H152" s="186">
        <v>66675</v>
      </c>
      <c r="J152" s="229"/>
      <c r="K152" s="229"/>
    </row>
    <row r="153" spans="1:11" ht="13.5" customHeight="1">
      <c r="A153" s="183">
        <v>691</v>
      </c>
      <c r="B153" s="237">
        <v>100</v>
      </c>
      <c r="C153" s="214" t="s">
        <v>322</v>
      </c>
      <c r="D153" s="186">
        <v>105000</v>
      </c>
      <c r="E153" s="236">
        <v>105000</v>
      </c>
      <c r="F153" s="245"/>
      <c r="G153" s="181"/>
      <c r="H153" s="186">
        <v>105000</v>
      </c>
      <c r="J153" s="229"/>
      <c r="K153" s="229"/>
    </row>
    <row r="154" spans="1:11" ht="13.5" customHeight="1">
      <c r="A154" s="183">
        <v>691</v>
      </c>
      <c r="B154" s="237">
        <v>900</v>
      </c>
      <c r="C154" s="234" t="s">
        <v>323</v>
      </c>
      <c r="D154" s="186">
        <v>20000</v>
      </c>
      <c r="E154" s="193"/>
      <c r="F154" s="238"/>
      <c r="G154" s="181"/>
      <c r="H154" s="182"/>
      <c r="J154" s="229"/>
      <c r="K154" s="229"/>
    </row>
    <row r="155" spans="1:11" ht="13.5" customHeight="1">
      <c r="A155" s="173">
        <v>682</v>
      </c>
      <c r="B155" s="243">
        <v>300</v>
      </c>
      <c r="C155" s="214" t="s">
        <v>324</v>
      </c>
      <c r="D155" s="186">
        <v>20000</v>
      </c>
      <c r="E155" s="236">
        <v>4000</v>
      </c>
      <c r="F155" s="185">
        <f>(E155/D155*100)</f>
        <v>20</v>
      </c>
      <c r="G155" s="181"/>
      <c r="H155" s="186">
        <v>4000</v>
      </c>
      <c r="J155" s="229"/>
      <c r="K155" s="229"/>
    </row>
    <row r="156" spans="1:11" ht="13.5" customHeight="1" thickBot="1">
      <c r="A156" s="183">
        <v>682</v>
      </c>
      <c r="B156" s="237">
        <v>600</v>
      </c>
      <c r="C156" s="214" t="s">
        <v>325</v>
      </c>
      <c r="D156" s="246">
        <v>30000</v>
      </c>
      <c r="E156" s="236">
        <v>6603</v>
      </c>
      <c r="F156" s="177"/>
      <c r="G156" s="247"/>
      <c r="H156" s="186">
        <v>6603</v>
      </c>
      <c r="J156" s="224"/>
      <c r="K156" s="229"/>
    </row>
    <row r="157" spans="1:11" ht="15.75" customHeight="1" thickBot="1">
      <c r="A157" s="183">
        <v>682</v>
      </c>
      <c r="B157" s="264">
        <v>402</v>
      </c>
      <c r="C157" s="262" t="s">
        <v>326</v>
      </c>
      <c r="D157" s="248">
        <f>SUM(D135:D156)</f>
        <v>10280400</v>
      </c>
      <c r="E157" s="249">
        <f>SUM(E135:E156)</f>
        <v>9966231</v>
      </c>
      <c r="F157" s="250">
        <f>(E157/D157*100)</f>
        <v>96.94400023345395</v>
      </c>
      <c r="G157" s="251">
        <f>SUM(G134:G156)</f>
        <v>2541368</v>
      </c>
      <c r="H157" s="252">
        <f>SUM(H135:H156)</f>
        <v>12507599</v>
      </c>
      <c r="J157" s="229"/>
      <c r="K157" s="229"/>
    </row>
    <row r="158" spans="1:11" ht="13.5" customHeight="1" thickBot="1">
      <c r="A158" s="224"/>
      <c r="B158" s="261"/>
      <c r="C158" s="263" t="s">
        <v>327</v>
      </c>
      <c r="D158" s="253">
        <f>D157-D130</f>
        <v>-402100</v>
      </c>
      <c r="E158" s="253">
        <f>E157-E130</f>
        <v>-128673</v>
      </c>
      <c r="F158" s="254"/>
      <c r="G158" s="229"/>
      <c r="H158" s="253">
        <f>H157-H130</f>
        <v>-128673</v>
      </c>
      <c r="J158" s="229"/>
      <c r="K158" s="229"/>
    </row>
    <row r="159" spans="4:11" ht="15.75" customHeight="1">
      <c r="D159" s="255"/>
      <c r="E159" s="256"/>
      <c r="F159" s="228"/>
      <c r="H159" s="256"/>
      <c r="J159" s="229"/>
      <c r="K159" s="229"/>
    </row>
    <row r="160" spans="2:10" ht="15.75">
      <c r="B160" s="205"/>
      <c r="J160" s="157"/>
    </row>
    <row r="162" ht="15.75">
      <c r="B162" s="224"/>
    </row>
    <row r="164" ht="15.75">
      <c r="C164" s="257"/>
    </row>
    <row r="166" spans="2:8" ht="15.75">
      <c r="B166" s="202"/>
      <c r="C166" s="224"/>
      <c r="D166" s="255"/>
      <c r="E166" s="230"/>
      <c r="F166" s="258"/>
      <c r="H166" s="230"/>
    </row>
    <row r="167" spans="2:4" ht="15.75">
      <c r="B167" s="202"/>
      <c r="C167" s="202"/>
      <c r="D167" s="259"/>
    </row>
    <row r="169" spans="2:4" ht="15.75">
      <c r="B169" s="202"/>
      <c r="C169" s="202"/>
      <c r="D169" s="259"/>
    </row>
    <row r="282" ht="15.75">
      <c r="F282" s="260"/>
    </row>
    <row r="357" ht="15.75">
      <c r="F357" s="260"/>
    </row>
  </sheetData>
  <printOptions horizontalCentered="1" verticalCentered="1"/>
  <pageMargins left="0.5511811023622047" right="0.5118110236220472" top="0.7086614173228347" bottom="0.7086614173228347" header="0.5118110236220472" footer="0.5118110236220472"/>
  <pageSetup horizontalDpi="600" verticalDpi="600" orientation="portrait" paperSize="9" scale="80" r:id="rId1"/>
  <headerFooter alignWithMargins="0">
    <oddHeader>&amp;L1. zasedání 31. synodu ČCE &amp;RTISK č. 11 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5"/>
  <sheetViews>
    <sheetView zoomScale="80" zoomScaleNormal="80" workbookViewId="0" topLeftCell="A1">
      <selection activeCell="O7" sqref="O7"/>
    </sheetView>
  </sheetViews>
  <sheetFormatPr defaultColWidth="9.140625" defaultRowHeight="15" customHeight="1"/>
  <cols>
    <col min="1" max="1" width="18.7109375" style="26" customWidth="1"/>
    <col min="2" max="22" width="5.7109375" style="1" customWidth="1"/>
    <col min="23" max="23" width="8.7109375" style="1" customWidth="1"/>
    <col min="24" max="29" width="7.7109375" style="1" customWidth="1"/>
    <col min="30" max="16384" width="5.7109375" style="1" customWidth="1"/>
  </cols>
  <sheetData>
    <row r="1" spans="1:29" ht="15" customHeight="1">
      <c r="A1" s="295" t="s">
        <v>347</v>
      </c>
      <c r="C1" s="294"/>
      <c r="AC1" s="1" t="s">
        <v>346</v>
      </c>
    </row>
    <row r="2" ht="15" customHeight="1" thickBot="1">
      <c r="C2" s="294"/>
    </row>
    <row r="3" spans="1:30" s="7" customFormat="1" ht="106.5" customHeight="1" thickBot="1">
      <c r="A3" s="265"/>
      <c r="B3" s="266" t="s">
        <v>57</v>
      </c>
      <c r="C3" s="267" t="s">
        <v>0</v>
      </c>
      <c r="D3" s="267" t="s">
        <v>1</v>
      </c>
      <c r="E3" s="267" t="s">
        <v>2</v>
      </c>
      <c r="F3" s="267" t="s">
        <v>3</v>
      </c>
      <c r="G3" s="266"/>
      <c r="H3" s="290" t="s">
        <v>4</v>
      </c>
      <c r="I3" s="290" t="s">
        <v>5</v>
      </c>
      <c r="J3" s="290" t="s">
        <v>6</v>
      </c>
      <c r="K3" s="267" t="s">
        <v>7</v>
      </c>
      <c r="L3" s="267" t="s">
        <v>8</v>
      </c>
      <c r="M3" s="267" t="s">
        <v>9</v>
      </c>
      <c r="N3" s="267" t="s">
        <v>10</v>
      </c>
      <c r="O3" s="267" t="s">
        <v>11</v>
      </c>
      <c r="P3" s="267" t="s">
        <v>12</v>
      </c>
      <c r="Q3" s="267" t="s">
        <v>13</v>
      </c>
      <c r="R3" s="267" t="s">
        <v>14</v>
      </c>
      <c r="S3" s="267" t="s">
        <v>15</v>
      </c>
      <c r="T3" s="267" t="s">
        <v>16</v>
      </c>
      <c r="U3" s="267" t="s">
        <v>17</v>
      </c>
      <c r="V3" s="267" t="s">
        <v>18</v>
      </c>
      <c r="W3" s="267" t="s">
        <v>19</v>
      </c>
      <c r="X3" s="304" t="s">
        <v>51</v>
      </c>
      <c r="Y3" s="268" t="s">
        <v>52</v>
      </c>
      <c r="Z3" s="268" t="s">
        <v>53</v>
      </c>
      <c r="AA3" s="268" t="s">
        <v>62</v>
      </c>
      <c r="AB3" s="268" t="s">
        <v>56</v>
      </c>
      <c r="AC3" s="269" t="s">
        <v>58</v>
      </c>
      <c r="AD3" s="25"/>
    </row>
    <row r="4" spans="1:29" s="3" customFormat="1" ht="16.5" customHeight="1">
      <c r="A4" s="280"/>
      <c r="B4" s="281">
        <v>2002</v>
      </c>
      <c r="C4" s="282">
        <v>2002</v>
      </c>
      <c r="D4" s="282">
        <v>2002</v>
      </c>
      <c r="E4" s="282">
        <v>2002</v>
      </c>
      <c r="F4" s="283" t="s">
        <v>54</v>
      </c>
      <c r="G4" s="283" t="s">
        <v>55</v>
      </c>
      <c r="H4" s="282">
        <v>2002</v>
      </c>
      <c r="I4" s="282">
        <v>2002</v>
      </c>
      <c r="J4" s="282">
        <v>2002</v>
      </c>
      <c r="K4" s="282">
        <v>2002</v>
      </c>
      <c r="L4" s="282">
        <v>2002</v>
      </c>
      <c r="M4" s="282">
        <v>2002</v>
      </c>
      <c r="N4" s="282">
        <v>2002</v>
      </c>
      <c r="O4" s="282">
        <v>2002</v>
      </c>
      <c r="P4" s="282">
        <v>2002</v>
      </c>
      <c r="Q4" s="282">
        <v>2002</v>
      </c>
      <c r="R4" s="282">
        <v>2002</v>
      </c>
      <c r="S4" s="282">
        <v>2002</v>
      </c>
      <c r="T4" s="282">
        <v>2002</v>
      </c>
      <c r="U4" s="282">
        <v>2002</v>
      </c>
      <c r="V4" s="282">
        <v>2002</v>
      </c>
      <c r="W4" s="299">
        <v>2002</v>
      </c>
      <c r="X4" s="305">
        <v>2002</v>
      </c>
      <c r="Y4" s="284">
        <v>2002</v>
      </c>
      <c r="Z4" s="284">
        <v>2002</v>
      </c>
      <c r="AA4" s="284">
        <v>2002</v>
      </c>
      <c r="AB4" s="284">
        <v>2002</v>
      </c>
      <c r="AC4" s="285">
        <v>2002</v>
      </c>
    </row>
    <row r="5" spans="1:36" ht="15" customHeight="1">
      <c r="A5" s="279" t="s">
        <v>20</v>
      </c>
      <c r="B5" s="286"/>
      <c r="C5" s="24"/>
      <c r="D5" s="24">
        <v>116</v>
      </c>
      <c r="E5" s="24"/>
      <c r="F5" s="24"/>
      <c r="G5" s="24"/>
      <c r="H5" s="24"/>
      <c r="I5" s="24">
        <v>1</v>
      </c>
      <c r="J5" s="24"/>
      <c r="K5" s="24"/>
      <c r="L5" s="24"/>
      <c r="M5" s="24"/>
      <c r="N5" s="24">
        <v>45</v>
      </c>
      <c r="O5" s="24"/>
      <c r="P5" s="24">
        <v>43</v>
      </c>
      <c r="Q5" s="24"/>
      <c r="R5" s="24">
        <v>85</v>
      </c>
      <c r="S5" s="24"/>
      <c r="T5" s="24"/>
      <c r="U5" s="24"/>
      <c r="V5" s="24"/>
      <c r="W5" s="300">
        <v>70</v>
      </c>
      <c r="X5" s="306">
        <v>8</v>
      </c>
      <c r="Y5" s="271">
        <v>7.88</v>
      </c>
      <c r="Z5" s="271">
        <v>17</v>
      </c>
      <c r="AA5" s="271">
        <v>2</v>
      </c>
      <c r="AB5" s="271">
        <v>0</v>
      </c>
      <c r="AC5" s="272">
        <v>1</v>
      </c>
      <c r="AH5" s="2"/>
      <c r="AI5" s="2"/>
      <c r="AJ5" s="2"/>
    </row>
    <row r="6" spans="1:36" ht="15" customHeight="1">
      <c r="A6" s="280" t="s">
        <v>21</v>
      </c>
      <c r="B6" s="287">
        <v>33</v>
      </c>
      <c r="C6" s="5"/>
      <c r="D6" s="5">
        <v>8</v>
      </c>
      <c r="E6" s="5">
        <v>7</v>
      </c>
      <c r="F6" s="5">
        <v>11</v>
      </c>
      <c r="G6" s="5">
        <v>40</v>
      </c>
      <c r="H6" s="5"/>
      <c r="I6" s="5"/>
      <c r="J6" s="5"/>
      <c r="K6" s="5"/>
      <c r="L6" s="5"/>
      <c r="M6" s="5"/>
      <c r="N6" s="5">
        <v>16</v>
      </c>
      <c r="O6" s="5"/>
      <c r="P6" s="5"/>
      <c r="Q6" s="5"/>
      <c r="R6" s="5"/>
      <c r="S6" s="5"/>
      <c r="T6" s="5"/>
      <c r="U6" s="5"/>
      <c r="V6" s="5"/>
      <c r="W6" s="301"/>
      <c r="X6" s="307">
        <v>35</v>
      </c>
      <c r="Y6" s="270">
        <v>28</v>
      </c>
      <c r="Z6" s="270">
        <v>16</v>
      </c>
      <c r="AA6" s="270">
        <v>1</v>
      </c>
      <c r="AB6" s="270">
        <v>0</v>
      </c>
      <c r="AC6" s="273">
        <v>5</v>
      </c>
      <c r="AH6" s="2"/>
      <c r="AI6" s="2"/>
      <c r="AJ6" s="2"/>
    </row>
    <row r="7" spans="1:29" ht="15" customHeight="1">
      <c r="A7" s="280" t="s">
        <v>22</v>
      </c>
      <c r="B7" s="287"/>
      <c r="C7" s="5"/>
      <c r="D7" s="5"/>
      <c r="E7" s="5"/>
      <c r="F7" s="5">
        <v>21</v>
      </c>
      <c r="G7" s="5">
        <v>1</v>
      </c>
      <c r="H7" s="5"/>
      <c r="I7" s="5"/>
      <c r="J7" s="5"/>
      <c r="K7" s="5"/>
      <c r="L7" s="5"/>
      <c r="M7" s="5"/>
      <c r="N7" s="5"/>
      <c r="O7" s="5"/>
      <c r="P7" s="5">
        <v>246</v>
      </c>
      <c r="Q7" s="5"/>
      <c r="R7" s="5"/>
      <c r="S7" s="5"/>
      <c r="T7" s="5"/>
      <c r="U7" s="5"/>
      <c r="V7" s="5"/>
      <c r="W7" s="301"/>
      <c r="X7" s="307">
        <v>24</v>
      </c>
      <c r="Y7" s="270">
        <v>21.6</v>
      </c>
      <c r="Z7" s="270">
        <f>8+3</f>
        <v>11</v>
      </c>
      <c r="AA7" s="270">
        <v>1</v>
      </c>
      <c r="AB7" s="270">
        <v>1</v>
      </c>
      <c r="AC7" s="273">
        <v>3</v>
      </c>
    </row>
    <row r="8" spans="1:29" ht="15" customHeight="1">
      <c r="A8" s="280" t="s">
        <v>23</v>
      </c>
      <c r="B8" s="287"/>
      <c r="C8" s="5"/>
      <c r="D8" s="5"/>
      <c r="E8" s="5"/>
      <c r="F8" s="5"/>
      <c r="G8" s="5"/>
      <c r="H8" s="5"/>
      <c r="I8" s="5"/>
      <c r="J8" s="5"/>
      <c r="K8" s="5"/>
      <c r="L8" s="5"/>
      <c r="M8" s="5">
        <f>2206+4560+849</f>
        <v>7615</v>
      </c>
      <c r="N8" s="5"/>
      <c r="O8" s="5"/>
      <c r="P8" s="5"/>
      <c r="Q8" s="5"/>
      <c r="R8" s="5"/>
      <c r="S8" s="5"/>
      <c r="T8" s="5"/>
      <c r="U8" s="5"/>
      <c r="V8" s="5"/>
      <c r="W8" s="301"/>
      <c r="X8" s="307">
        <v>6</v>
      </c>
      <c r="Y8" s="270">
        <v>4.7</v>
      </c>
      <c r="Z8" s="270">
        <v>5</v>
      </c>
      <c r="AA8" s="270">
        <v>2</v>
      </c>
      <c r="AB8" s="270">
        <v>3</v>
      </c>
      <c r="AC8" s="273">
        <v>1</v>
      </c>
    </row>
    <row r="9" spans="1:29" ht="15" customHeight="1">
      <c r="A9" s="280" t="s">
        <v>24</v>
      </c>
      <c r="B9" s="287"/>
      <c r="C9" s="5"/>
      <c r="D9" s="5"/>
      <c r="E9" s="5"/>
      <c r="F9" s="5"/>
      <c r="G9" s="5"/>
      <c r="H9" s="5">
        <v>7</v>
      </c>
      <c r="I9" s="5">
        <v>8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301"/>
      <c r="X9" s="307">
        <f>5+7</f>
        <v>12</v>
      </c>
      <c r="Y9" s="270">
        <f>2.4+5.9</f>
        <v>8.3</v>
      </c>
      <c r="Z9" s="270">
        <v>30</v>
      </c>
      <c r="AA9" s="270">
        <v>2</v>
      </c>
      <c r="AB9" s="270">
        <v>0</v>
      </c>
      <c r="AC9" s="273">
        <v>1</v>
      </c>
    </row>
    <row r="10" spans="1:29" ht="15" customHeight="1">
      <c r="A10" s="280" t="s">
        <v>25</v>
      </c>
      <c r="B10" s="287"/>
      <c r="C10" s="5"/>
      <c r="D10" s="5">
        <v>5</v>
      </c>
      <c r="E10" s="5"/>
      <c r="F10" s="5">
        <v>21</v>
      </c>
      <c r="G10" s="5"/>
      <c r="H10" s="5"/>
      <c r="I10" s="5"/>
      <c r="J10" s="5"/>
      <c r="K10" s="5"/>
      <c r="L10" s="5"/>
      <c r="M10" s="5"/>
      <c r="N10" s="5">
        <v>25</v>
      </c>
      <c r="O10" s="5"/>
      <c r="P10" s="5"/>
      <c r="Q10" s="5"/>
      <c r="R10" s="5"/>
      <c r="S10" s="5"/>
      <c r="T10" s="5"/>
      <c r="U10" s="5"/>
      <c r="V10" s="5"/>
      <c r="W10" s="301"/>
      <c r="X10" s="307">
        <v>47</v>
      </c>
      <c r="Y10" s="270">
        <v>41.8</v>
      </c>
      <c r="Z10" s="270">
        <v>28</v>
      </c>
      <c r="AA10" s="270">
        <v>4</v>
      </c>
      <c r="AB10" s="270">
        <v>1</v>
      </c>
      <c r="AC10" s="273">
        <v>3</v>
      </c>
    </row>
    <row r="11" spans="1:29" ht="15" customHeight="1">
      <c r="A11" s="280" t="s">
        <v>26</v>
      </c>
      <c r="B11" s="287"/>
      <c r="C11" s="5"/>
      <c r="D11" s="5"/>
      <c r="E11" s="5"/>
      <c r="F11" s="5">
        <v>137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301"/>
      <c r="X11" s="307">
        <v>72.97</v>
      </c>
      <c r="Y11" s="270">
        <v>71.04</v>
      </c>
      <c r="Z11" s="270">
        <v>9</v>
      </c>
      <c r="AA11" s="270">
        <v>0</v>
      </c>
      <c r="AB11" s="270">
        <v>0</v>
      </c>
      <c r="AC11" s="273">
        <v>0</v>
      </c>
    </row>
    <row r="12" spans="1:29" ht="15" customHeight="1">
      <c r="A12" s="280" t="s">
        <v>27</v>
      </c>
      <c r="B12" s="287"/>
      <c r="C12" s="5"/>
      <c r="D12" s="5">
        <v>15</v>
      </c>
      <c r="E12" s="5"/>
      <c r="F12" s="5">
        <v>28</v>
      </c>
      <c r="G12" s="5"/>
      <c r="H12" s="5"/>
      <c r="I12" s="5">
        <v>10</v>
      </c>
      <c r="J12" s="5"/>
      <c r="K12" s="5"/>
      <c r="L12" s="5"/>
      <c r="M12" s="5"/>
      <c r="N12" s="5"/>
      <c r="O12" s="5"/>
      <c r="P12" s="5">
        <v>100</v>
      </c>
      <c r="Q12" s="5"/>
      <c r="R12" s="5">
        <v>2000</v>
      </c>
      <c r="S12" s="5"/>
      <c r="T12" s="5"/>
      <c r="U12" s="5"/>
      <c r="V12" s="5"/>
      <c r="W12" s="301"/>
      <c r="X12" s="307">
        <v>23</v>
      </c>
      <c r="Y12" s="270">
        <v>22</v>
      </c>
      <c r="Z12" s="270">
        <v>7</v>
      </c>
      <c r="AA12" s="270">
        <v>3</v>
      </c>
      <c r="AB12" s="270">
        <v>0</v>
      </c>
      <c r="AC12" s="273">
        <v>6</v>
      </c>
    </row>
    <row r="13" spans="1:29" ht="15" customHeight="1">
      <c r="A13" s="280" t="s">
        <v>28</v>
      </c>
      <c r="B13" s="287"/>
      <c r="C13" s="5">
        <v>27</v>
      </c>
      <c r="D13" s="5">
        <v>17</v>
      </c>
      <c r="E13" s="5">
        <v>23</v>
      </c>
      <c r="F13" s="5"/>
      <c r="G13" s="5"/>
      <c r="H13" s="5"/>
      <c r="I13" s="5"/>
      <c r="J13" s="5"/>
      <c r="K13" s="5">
        <v>175</v>
      </c>
      <c r="L13" s="5"/>
      <c r="M13" s="5">
        <v>5100</v>
      </c>
      <c r="N13" s="5"/>
      <c r="O13" s="5"/>
      <c r="P13" s="5"/>
      <c r="Q13" s="5"/>
      <c r="R13" s="5">
        <v>1150</v>
      </c>
      <c r="S13" s="5"/>
      <c r="T13" s="5"/>
      <c r="U13" s="5">
        <v>6</v>
      </c>
      <c r="V13" s="5"/>
      <c r="W13" s="302" t="s">
        <v>49</v>
      </c>
      <c r="X13" s="307">
        <v>17.55</v>
      </c>
      <c r="Y13" s="270">
        <v>16.15</v>
      </c>
      <c r="Z13" s="270">
        <v>19</v>
      </c>
      <c r="AA13" s="270">
        <v>3</v>
      </c>
      <c r="AB13" s="270">
        <v>0</v>
      </c>
      <c r="AC13" s="273">
        <v>2</v>
      </c>
    </row>
    <row r="14" spans="1:29" ht="15" customHeight="1">
      <c r="A14" s="280" t="s">
        <v>29</v>
      </c>
      <c r="B14" s="287">
        <f>24+8</f>
        <v>32</v>
      </c>
      <c r="C14" s="5"/>
      <c r="D14" s="5">
        <v>8</v>
      </c>
      <c r="E14" s="5">
        <v>30</v>
      </c>
      <c r="F14" s="5">
        <v>12</v>
      </c>
      <c r="G14" s="5"/>
      <c r="H14" s="5"/>
      <c r="I14" s="5">
        <v>4</v>
      </c>
      <c r="J14" s="5"/>
      <c r="K14" s="5"/>
      <c r="L14" s="5"/>
      <c r="M14" s="5"/>
      <c r="N14" s="5">
        <v>21</v>
      </c>
      <c r="O14" s="5">
        <v>1</v>
      </c>
      <c r="P14" s="5"/>
      <c r="Q14" s="5"/>
      <c r="R14" s="5"/>
      <c r="S14" s="5">
        <v>3</v>
      </c>
      <c r="T14" s="5"/>
      <c r="U14" s="5"/>
      <c r="V14" s="5"/>
      <c r="W14" s="301"/>
      <c r="X14" s="307">
        <v>35</v>
      </c>
      <c r="Y14" s="270">
        <v>32.5</v>
      </c>
      <c r="Z14" s="270">
        <v>5</v>
      </c>
      <c r="AA14" s="270"/>
      <c r="AB14" s="270">
        <v>0</v>
      </c>
      <c r="AC14" s="273">
        <v>4</v>
      </c>
    </row>
    <row r="15" spans="1:29" ht="15" customHeight="1">
      <c r="A15" s="280" t="s">
        <v>30</v>
      </c>
      <c r="B15" s="287"/>
      <c r="C15" s="5">
        <v>26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>
        <v>5</v>
      </c>
      <c r="R15" s="5">
        <v>200</v>
      </c>
      <c r="S15" s="5"/>
      <c r="T15" s="5"/>
      <c r="U15" s="5"/>
      <c r="V15" s="5"/>
      <c r="W15" s="301">
        <v>5</v>
      </c>
      <c r="X15" s="307">
        <v>5</v>
      </c>
      <c r="Y15" s="270">
        <v>5</v>
      </c>
      <c r="Z15" s="270">
        <v>15</v>
      </c>
      <c r="AA15" s="270"/>
      <c r="AB15" s="270"/>
      <c r="AC15" s="273"/>
    </row>
    <row r="16" spans="1:29" ht="15" customHeight="1">
      <c r="A16" s="280" t="s">
        <v>31</v>
      </c>
      <c r="B16" s="287"/>
      <c r="C16" s="5"/>
      <c r="D16" s="5">
        <v>1</v>
      </c>
      <c r="E16" s="5"/>
      <c r="F16" s="5">
        <v>134</v>
      </c>
      <c r="G16" s="5"/>
      <c r="H16" s="5"/>
      <c r="I16" s="5"/>
      <c r="J16" s="5"/>
      <c r="K16" s="5"/>
      <c r="L16" s="5"/>
      <c r="M16" s="5"/>
      <c r="N16" s="5">
        <v>6</v>
      </c>
      <c r="O16" s="5"/>
      <c r="P16" s="5"/>
      <c r="Q16" s="5"/>
      <c r="R16" s="5"/>
      <c r="S16" s="5"/>
      <c r="T16" s="5"/>
      <c r="U16" s="5"/>
      <c r="V16" s="5"/>
      <c r="W16" s="301"/>
      <c r="X16" s="307">
        <v>74</v>
      </c>
      <c r="Y16" s="270">
        <v>64.5</v>
      </c>
      <c r="Z16" s="270">
        <v>53</v>
      </c>
      <c r="AA16" s="270">
        <v>0</v>
      </c>
      <c r="AB16" s="270">
        <v>0</v>
      </c>
      <c r="AC16" s="273">
        <v>3</v>
      </c>
    </row>
    <row r="17" spans="1:29" ht="15" customHeight="1">
      <c r="A17" s="280" t="s">
        <v>32</v>
      </c>
      <c r="B17" s="287"/>
      <c r="C17" s="5"/>
      <c r="D17" s="5"/>
      <c r="E17" s="5"/>
      <c r="F17" s="5">
        <v>20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301"/>
      <c r="X17" s="307">
        <v>26</v>
      </c>
      <c r="Y17" s="270">
        <v>17.75</v>
      </c>
      <c r="Z17" s="270">
        <f>8+15</f>
        <v>23</v>
      </c>
      <c r="AA17" s="270">
        <v>1</v>
      </c>
      <c r="AB17" s="270">
        <v>0</v>
      </c>
      <c r="AC17" s="273">
        <v>3</v>
      </c>
    </row>
    <row r="18" spans="1:29" ht="15" customHeight="1">
      <c r="A18" s="280" t="s">
        <v>33</v>
      </c>
      <c r="B18" s="287">
        <v>11</v>
      </c>
      <c r="C18" s="5"/>
      <c r="D18" s="5">
        <f>27+19</f>
        <v>46</v>
      </c>
      <c r="E18" s="5"/>
      <c r="F18" s="5">
        <f>11+19</f>
        <v>30</v>
      </c>
      <c r="G18" s="5"/>
      <c r="H18" s="5"/>
      <c r="I18" s="5"/>
      <c r="J18" s="5"/>
      <c r="K18" s="5"/>
      <c r="L18" s="5">
        <v>1814</v>
      </c>
      <c r="M18" s="5"/>
      <c r="N18" s="5">
        <v>19</v>
      </c>
      <c r="O18" s="5"/>
      <c r="P18" s="5">
        <v>126</v>
      </c>
      <c r="Q18" s="5"/>
      <c r="R18" s="5"/>
      <c r="S18" s="5"/>
      <c r="T18" s="5"/>
      <c r="U18" s="5"/>
      <c r="V18" s="5"/>
      <c r="W18" s="301">
        <v>60</v>
      </c>
      <c r="X18" s="307">
        <f>11+12+5+1+7</f>
        <v>36</v>
      </c>
      <c r="Y18" s="270">
        <f>11.64+12+4.5+0.3+6.5</f>
        <v>34.94</v>
      </c>
      <c r="Z18" s="270">
        <v>9</v>
      </c>
      <c r="AA18" s="270">
        <v>8</v>
      </c>
      <c r="AB18" s="270">
        <v>1</v>
      </c>
      <c r="AC18" s="273"/>
    </row>
    <row r="19" spans="1:29" ht="15" customHeight="1">
      <c r="A19" s="280" t="s">
        <v>34</v>
      </c>
      <c r="B19" s="287"/>
      <c r="C19" s="5"/>
      <c r="D19" s="5"/>
      <c r="E19" s="5"/>
      <c r="F19" s="5">
        <v>38</v>
      </c>
      <c r="G19" s="5"/>
      <c r="H19" s="5"/>
      <c r="I19" s="5"/>
      <c r="J19" s="5"/>
      <c r="K19" s="5"/>
      <c r="L19" s="5"/>
      <c r="M19" s="5"/>
      <c r="N19" s="5"/>
      <c r="O19" s="5"/>
      <c r="P19" s="5">
        <v>152</v>
      </c>
      <c r="Q19" s="5"/>
      <c r="R19" s="5"/>
      <c r="S19" s="5"/>
      <c r="T19" s="5"/>
      <c r="U19" s="5"/>
      <c r="V19" s="5"/>
      <c r="W19" s="301"/>
      <c r="X19" s="307">
        <v>38</v>
      </c>
      <c r="Y19" s="270">
        <v>37.5</v>
      </c>
      <c r="Z19" s="270">
        <v>54</v>
      </c>
      <c r="AA19" s="270"/>
      <c r="AB19" s="270"/>
      <c r="AC19" s="273"/>
    </row>
    <row r="20" spans="1:29" ht="15" customHeight="1">
      <c r="A20" s="280" t="s">
        <v>35</v>
      </c>
      <c r="B20" s="287">
        <v>42</v>
      </c>
      <c r="C20" s="5"/>
      <c r="D20" s="5" t="s">
        <v>50</v>
      </c>
      <c r="E20" s="5">
        <v>6</v>
      </c>
      <c r="F20" s="5">
        <v>15</v>
      </c>
      <c r="G20" s="5"/>
      <c r="H20" s="5"/>
      <c r="I20" s="5">
        <v>4</v>
      </c>
      <c r="J20" s="5"/>
      <c r="K20" s="5"/>
      <c r="L20" s="5"/>
      <c r="M20" s="5"/>
      <c r="N20" s="5"/>
      <c r="O20" s="5"/>
      <c r="P20" s="5"/>
      <c r="Q20" s="5"/>
      <c r="R20" s="5">
        <v>100</v>
      </c>
      <c r="S20" s="5">
        <v>8</v>
      </c>
      <c r="T20" s="5"/>
      <c r="U20" s="5"/>
      <c r="V20" s="5"/>
      <c r="W20" s="301"/>
      <c r="X20" s="307">
        <v>30</v>
      </c>
      <c r="Y20" s="270">
        <v>30</v>
      </c>
      <c r="Z20" s="270">
        <v>7</v>
      </c>
      <c r="AA20" s="270">
        <v>0</v>
      </c>
      <c r="AB20" s="270">
        <v>0</v>
      </c>
      <c r="AC20" s="273"/>
    </row>
    <row r="21" spans="1:29" ht="15" customHeight="1">
      <c r="A21" s="280" t="s">
        <v>36</v>
      </c>
      <c r="B21" s="287">
        <v>12</v>
      </c>
      <c r="C21" s="5"/>
      <c r="D21" s="5">
        <v>21</v>
      </c>
      <c r="E21" s="5"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>
        <v>7</v>
      </c>
      <c r="T21" s="5"/>
      <c r="U21" s="5"/>
      <c r="V21" s="5"/>
      <c r="W21" s="301">
        <v>1</v>
      </c>
      <c r="X21" s="307">
        <v>12</v>
      </c>
      <c r="Y21" s="270">
        <v>12</v>
      </c>
      <c r="Z21" s="270">
        <v>15</v>
      </c>
      <c r="AA21" s="270">
        <v>0</v>
      </c>
      <c r="AB21" s="270">
        <v>0</v>
      </c>
      <c r="AC21" s="273">
        <v>4</v>
      </c>
    </row>
    <row r="22" spans="1:29" ht="15" customHeight="1">
      <c r="A22" s="280" t="s">
        <v>37</v>
      </c>
      <c r="B22" s="287">
        <v>29</v>
      </c>
      <c r="C22" s="5"/>
      <c r="D22" s="5" t="s">
        <v>50</v>
      </c>
      <c r="E22" s="5">
        <v>12</v>
      </c>
      <c r="F22" s="5">
        <v>4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>
        <v>80</v>
      </c>
      <c r="T22" s="5"/>
      <c r="U22" s="5"/>
      <c r="V22" s="5"/>
      <c r="W22" s="301"/>
      <c r="X22" s="307">
        <v>28</v>
      </c>
      <c r="Y22" s="270">
        <v>26.5</v>
      </c>
      <c r="Z22" s="270">
        <v>10</v>
      </c>
      <c r="AA22" s="270"/>
      <c r="AB22" s="270">
        <v>0</v>
      </c>
      <c r="AC22" s="273">
        <v>5</v>
      </c>
    </row>
    <row r="23" spans="1:29" ht="15" customHeight="1">
      <c r="A23" s="280" t="s">
        <v>38</v>
      </c>
      <c r="B23" s="287"/>
      <c r="C23" s="5">
        <v>14</v>
      </c>
      <c r="D23" s="5"/>
      <c r="E23" s="5"/>
      <c r="F23" s="5"/>
      <c r="G23" s="5"/>
      <c r="H23" s="5"/>
      <c r="I23" s="5"/>
      <c r="J23" s="5">
        <v>4118</v>
      </c>
      <c r="K23" s="5">
        <v>5282</v>
      </c>
      <c r="L23" s="5"/>
      <c r="M23" s="5"/>
      <c r="N23" s="5"/>
      <c r="O23" s="5"/>
      <c r="P23" s="5">
        <v>283</v>
      </c>
      <c r="Q23" s="5"/>
      <c r="R23" s="5">
        <v>1804</v>
      </c>
      <c r="S23" s="5"/>
      <c r="T23" s="5"/>
      <c r="U23" s="5"/>
      <c r="V23" s="5"/>
      <c r="W23" s="301"/>
      <c r="X23" s="307">
        <v>39.34</v>
      </c>
      <c r="Y23" s="270">
        <v>32.71</v>
      </c>
      <c r="Z23" s="270">
        <v>32</v>
      </c>
      <c r="AA23" s="270">
        <v>12</v>
      </c>
      <c r="AB23" s="270">
        <v>0</v>
      </c>
      <c r="AC23" s="273">
        <v>4</v>
      </c>
    </row>
    <row r="24" spans="1:29" ht="15" customHeight="1">
      <c r="A24" s="280" t="s">
        <v>39</v>
      </c>
      <c r="B24" s="287"/>
      <c r="C24" s="5"/>
      <c r="D24" s="5"/>
      <c r="E24" s="5"/>
      <c r="F24" s="5"/>
      <c r="G24" s="5"/>
      <c r="H24" s="5"/>
      <c r="I24" s="5"/>
      <c r="J24" s="5">
        <v>3500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301"/>
      <c r="X24" s="307">
        <v>1</v>
      </c>
      <c r="Y24" s="270">
        <v>0.75</v>
      </c>
      <c r="Z24" s="270">
        <v>18</v>
      </c>
      <c r="AA24" s="270">
        <v>8</v>
      </c>
      <c r="AB24" s="270">
        <v>0</v>
      </c>
      <c r="AC24" s="273">
        <v>1</v>
      </c>
    </row>
    <row r="25" spans="1:29" ht="15" customHeight="1">
      <c r="A25" s="280" t="s">
        <v>40</v>
      </c>
      <c r="B25" s="287"/>
      <c r="C25" s="5"/>
      <c r="D25" s="5"/>
      <c r="E25" s="5"/>
      <c r="F25" s="5">
        <v>11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>
        <v>5</v>
      </c>
      <c r="W25" s="301"/>
      <c r="X25" s="307">
        <v>13</v>
      </c>
      <c r="Y25" s="270">
        <v>11</v>
      </c>
      <c r="Z25" s="270">
        <v>10</v>
      </c>
      <c r="AA25" s="270">
        <v>4</v>
      </c>
      <c r="AB25" s="270">
        <v>0</v>
      </c>
      <c r="AC25" s="273">
        <v>1</v>
      </c>
    </row>
    <row r="26" spans="1:29" ht="15" customHeight="1">
      <c r="A26" s="280" t="s">
        <v>41</v>
      </c>
      <c r="B26" s="28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>
        <f>140+66</f>
        <v>206</v>
      </c>
      <c r="Q26" s="5"/>
      <c r="R26" s="5"/>
      <c r="S26" s="5"/>
      <c r="T26" s="5"/>
      <c r="U26" s="5"/>
      <c r="V26" s="5"/>
      <c r="W26" s="301"/>
      <c r="X26" s="307">
        <v>8.9</v>
      </c>
      <c r="Y26" s="270">
        <v>8.9</v>
      </c>
      <c r="Z26" s="270">
        <v>6</v>
      </c>
      <c r="AA26" s="270">
        <v>0</v>
      </c>
      <c r="AB26" s="270">
        <v>0</v>
      </c>
      <c r="AC26" s="273"/>
    </row>
    <row r="27" spans="1:29" ht="15" customHeight="1">
      <c r="A27" s="280" t="s">
        <v>42</v>
      </c>
      <c r="B27" s="287"/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v>3308</v>
      </c>
      <c r="N27" s="5"/>
      <c r="O27" s="5"/>
      <c r="P27" s="5"/>
      <c r="Q27" s="5"/>
      <c r="R27" s="5"/>
      <c r="S27" s="5"/>
      <c r="T27" s="5">
        <v>511</v>
      </c>
      <c r="U27" s="5"/>
      <c r="V27" s="5"/>
      <c r="W27" s="301"/>
      <c r="X27" s="307">
        <v>4</v>
      </c>
      <c r="Y27" s="270">
        <v>4</v>
      </c>
      <c r="Z27" s="270">
        <v>40</v>
      </c>
      <c r="AA27" s="270">
        <v>1</v>
      </c>
      <c r="AB27" s="270">
        <v>0</v>
      </c>
      <c r="AC27" s="273">
        <v>1</v>
      </c>
    </row>
    <row r="28" spans="1:29" ht="15" customHeight="1">
      <c r="A28" s="280" t="s">
        <v>43</v>
      </c>
      <c r="B28" s="28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>
        <v>3</v>
      </c>
      <c r="O28" s="5"/>
      <c r="P28" s="5">
        <v>325</v>
      </c>
      <c r="Q28" s="5"/>
      <c r="R28" s="5"/>
      <c r="S28" s="5"/>
      <c r="T28" s="5"/>
      <c r="U28" s="5"/>
      <c r="V28" s="5"/>
      <c r="W28" s="301"/>
      <c r="X28" s="307">
        <v>11</v>
      </c>
      <c r="Y28" s="270">
        <v>9.5</v>
      </c>
      <c r="Z28" s="270">
        <v>18</v>
      </c>
      <c r="AA28" s="270">
        <v>2</v>
      </c>
      <c r="AB28" s="270">
        <v>0</v>
      </c>
      <c r="AC28" s="273">
        <v>1</v>
      </c>
    </row>
    <row r="29" spans="1:29" ht="15" customHeight="1">
      <c r="A29" s="280" t="s">
        <v>44</v>
      </c>
      <c r="B29" s="287">
        <v>20</v>
      </c>
      <c r="C29" s="5"/>
      <c r="D29" s="5">
        <v>53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301"/>
      <c r="X29" s="307">
        <v>31</v>
      </c>
      <c r="Y29" s="270">
        <v>28.6</v>
      </c>
      <c r="Z29" s="270">
        <v>100</v>
      </c>
      <c r="AA29" s="270">
        <v>0</v>
      </c>
      <c r="AB29" s="270">
        <v>0</v>
      </c>
      <c r="AC29" s="273"/>
    </row>
    <row r="30" spans="1:29" ht="15" customHeight="1">
      <c r="A30" s="280" t="s">
        <v>45</v>
      </c>
      <c r="B30" s="287"/>
      <c r="C30" s="5"/>
      <c r="D30" s="5"/>
      <c r="E30" s="5"/>
      <c r="F30" s="5">
        <v>145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301"/>
      <c r="X30" s="307">
        <v>92</v>
      </c>
      <c r="Y30" s="270">
        <v>88.88</v>
      </c>
      <c r="Z30" s="270">
        <v>9</v>
      </c>
      <c r="AA30" s="270">
        <v>2</v>
      </c>
      <c r="AB30" s="270">
        <v>2</v>
      </c>
      <c r="AC30" s="273">
        <v>2</v>
      </c>
    </row>
    <row r="31" spans="1:29" ht="15" customHeight="1">
      <c r="A31" s="280" t="s">
        <v>46</v>
      </c>
      <c r="B31" s="287"/>
      <c r="C31" s="5"/>
      <c r="D31" s="5">
        <v>14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301"/>
      <c r="X31" s="307">
        <v>5</v>
      </c>
      <c r="Y31" s="270">
        <v>5</v>
      </c>
      <c r="Z31" s="270"/>
      <c r="AA31" s="270"/>
      <c r="AB31" s="270"/>
      <c r="AC31" s="273"/>
    </row>
    <row r="32" spans="1:29" ht="15" customHeight="1">
      <c r="A32" s="280" t="s">
        <v>47</v>
      </c>
      <c r="B32" s="287"/>
      <c r="C32" s="5"/>
      <c r="D32" s="5">
        <v>35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>
        <v>320</v>
      </c>
      <c r="Q32" s="5"/>
      <c r="R32" s="5">
        <v>250</v>
      </c>
      <c r="S32" s="5"/>
      <c r="T32" s="5"/>
      <c r="U32" s="5"/>
      <c r="V32" s="5"/>
      <c r="W32" s="301"/>
      <c r="X32" s="307">
        <v>19</v>
      </c>
      <c r="Y32" s="270">
        <v>16.8</v>
      </c>
      <c r="Z32" s="270">
        <v>50</v>
      </c>
      <c r="AA32" s="270">
        <v>1</v>
      </c>
      <c r="AB32" s="270">
        <v>0</v>
      </c>
      <c r="AC32" s="273"/>
    </row>
    <row r="33" spans="1:29" ht="15" customHeight="1" thickBot="1">
      <c r="A33" s="313" t="s">
        <v>48</v>
      </c>
      <c r="B33" s="296">
        <v>6</v>
      </c>
      <c r="C33" s="6"/>
      <c r="D33" s="6">
        <v>15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>
        <v>5</v>
      </c>
      <c r="T33" s="6"/>
      <c r="U33" s="6"/>
      <c r="V33" s="6"/>
      <c r="W33" s="303"/>
      <c r="X33" s="308">
        <v>8</v>
      </c>
      <c r="Y33" s="297">
        <v>7.25</v>
      </c>
      <c r="Z33" s="297">
        <v>10</v>
      </c>
      <c r="AA33" s="297">
        <v>2</v>
      </c>
      <c r="AB33" s="297">
        <v>0</v>
      </c>
      <c r="AC33" s="298"/>
    </row>
    <row r="34" spans="1:29" s="4" customFormat="1" ht="15" customHeight="1">
      <c r="A34" s="314" t="s">
        <v>60</v>
      </c>
      <c r="B34" s="288">
        <f aca="true" t="shared" si="0" ref="B34:W34">SUM(B5:B33)</f>
        <v>185</v>
      </c>
      <c r="C34" s="274">
        <f t="shared" si="0"/>
        <v>67</v>
      </c>
      <c r="D34" s="274">
        <f t="shared" si="0"/>
        <v>354</v>
      </c>
      <c r="E34" s="274">
        <f t="shared" si="0"/>
        <v>78</v>
      </c>
      <c r="F34" s="274">
        <f t="shared" si="0"/>
        <v>627</v>
      </c>
      <c r="G34" s="274">
        <f t="shared" si="0"/>
        <v>41</v>
      </c>
      <c r="H34" s="274">
        <f t="shared" si="0"/>
        <v>7</v>
      </c>
      <c r="I34" s="274">
        <f t="shared" si="0"/>
        <v>27</v>
      </c>
      <c r="J34" s="274">
        <f t="shared" si="0"/>
        <v>7618</v>
      </c>
      <c r="K34" s="274">
        <f t="shared" si="0"/>
        <v>5457</v>
      </c>
      <c r="L34" s="274">
        <f t="shared" si="0"/>
        <v>1814</v>
      </c>
      <c r="M34" s="275">
        <f t="shared" si="0"/>
        <v>16023</v>
      </c>
      <c r="N34" s="274">
        <f t="shared" si="0"/>
        <v>135</v>
      </c>
      <c r="O34" s="274">
        <f t="shared" si="0"/>
        <v>1</v>
      </c>
      <c r="P34" s="274">
        <f t="shared" si="0"/>
        <v>1801</v>
      </c>
      <c r="Q34" s="274">
        <f t="shared" si="0"/>
        <v>5</v>
      </c>
      <c r="R34" s="274">
        <f t="shared" si="0"/>
        <v>5589</v>
      </c>
      <c r="S34" s="274">
        <f t="shared" si="0"/>
        <v>103</v>
      </c>
      <c r="T34" s="274">
        <f t="shared" si="0"/>
        <v>511</v>
      </c>
      <c r="U34" s="274">
        <f t="shared" si="0"/>
        <v>6</v>
      </c>
      <c r="V34" s="274">
        <f t="shared" si="0"/>
        <v>5</v>
      </c>
      <c r="W34" s="274">
        <f t="shared" si="0"/>
        <v>136</v>
      </c>
      <c r="X34" s="276">
        <f aca="true" t="shared" si="1" ref="X34:AC34">SUM(X7:X33)</f>
        <v>718.76</v>
      </c>
      <c r="Y34" s="276">
        <f t="shared" si="1"/>
        <v>659.67</v>
      </c>
      <c r="Z34" s="276">
        <f t="shared" si="1"/>
        <v>593</v>
      </c>
      <c r="AA34" s="276">
        <f t="shared" si="1"/>
        <v>56</v>
      </c>
      <c r="AB34" s="276">
        <f t="shared" si="1"/>
        <v>8</v>
      </c>
      <c r="AC34" s="277">
        <f t="shared" si="1"/>
        <v>45</v>
      </c>
    </row>
    <row r="35" spans="1:29" ht="15" customHeight="1" thickBot="1">
      <c r="A35" s="315"/>
      <c r="B35" s="289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309"/>
      <c r="V35" s="310" t="s">
        <v>61</v>
      </c>
      <c r="W35" s="309"/>
      <c r="X35" s="311">
        <f aca="true" t="shared" si="2" ref="X35:AC35">X34/COUNT(X5:X33)</f>
        <v>24.784827586206895</v>
      </c>
      <c r="Y35" s="311">
        <f t="shared" si="2"/>
        <v>22.747241379310342</v>
      </c>
      <c r="Z35" s="311">
        <f t="shared" si="2"/>
        <v>21.178571428571427</v>
      </c>
      <c r="AA35" s="311">
        <f t="shared" si="2"/>
        <v>2.3333333333333335</v>
      </c>
      <c r="AB35" s="311">
        <f t="shared" si="2"/>
        <v>0.3076923076923077</v>
      </c>
      <c r="AC35" s="312">
        <f t="shared" si="2"/>
        <v>2.25</v>
      </c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0" r:id="rId3"/>
  <headerFooter alignWithMargins="0">
    <oddHeader>&amp;L1. zasedání 31. synodu ČCE &amp;RTISK č. 11 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Fenclová</dc:creator>
  <cp:keywords/>
  <dc:description/>
  <cp:lastModifiedBy>Jan Plecháček</cp:lastModifiedBy>
  <cp:lastPrinted>2003-04-29T07:21:04Z</cp:lastPrinted>
  <dcterms:created xsi:type="dcterms:W3CDTF">2003-04-11T17:25:05Z</dcterms:created>
  <dcterms:modified xsi:type="dcterms:W3CDTF">2003-07-11T09:37:36Z</dcterms:modified>
  <cp:category/>
  <cp:version/>
  <cp:contentType/>
  <cp:contentStatus/>
</cp:coreProperties>
</file>